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AGLS\Spreadsheets\"/>
    </mc:Choice>
  </mc:AlternateContent>
  <xr:revisionPtr revIDLastSave="0" documentId="13_ncr:1_{05A894CC-61B9-4718-807C-D2AC43EEDE18}" xr6:coauthVersionLast="47" xr6:coauthVersionMax="47" xr10:uidLastSave="{00000000-0000-0000-0000-000000000000}"/>
  <bookViews>
    <workbookView xWindow="-108" yWindow="-108" windowWidth="23256" windowHeight="12456" activeTab="1" xr2:uid="{5AEA5D9A-E5ED-4B88-BA2C-57BA8C52971D}"/>
  </bookViews>
  <sheets>
    <sheet name="Cow-calf forage consumption" sheetId="1" r:id="rId1"/>
    <sheet name="Stocker forage consumptio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0" i="2" l="1"/>
  <c r="S20" i="2"/>
  <c r="R20" i="2"/>
  <c r="Q20" i="2"/>
  <c r="P20" i="2"/>
  <c r="O20" i="2"/>
  <c r="N20" i="2"/>
  <c r="M20" i="2"/>
  <c r="T19" i="2"/>
  <c r="S19" i="2"/>
  <c r="R19" i="2"/>
  <c r="Q19" i="2"/>
  <c r="P19" i="2"/>
  <c r="O19" i="2"/>
  <c r="N19" i="2"/>
  <c r="M19" i="2"/>
  <c r="Q8" i="1" l="1"/>
  <c r="Q7" i="1"/>
  <c r="Q6" i="1"/>
  <c r="Q5" i="1"/>
  <c r="J14" i="1"/>
  <c r="J5" i="2"/>
  <c r="J6" i="2" s="1"/>
  <c r="J7" i="2" s="1"/>
  <c r="J8" i="2" s="1"/>
  <c r="J9" i="2" s="1"/>
  <c r="J10" i="2" s="1"/>
  <c r="J20" i="2" s="1"/>
  <c r="T10" i="2" s="1"/>
  <c r="I5" i="2"/>
  <c r="I6" i="2" s="1"/>
  <c r="H5" i="2"/>
  <c r="H15" i="2" s="1"/>
  <c r="R5" i="2" s="1"/>
  <c r="R15" i="2" s="1"/>
  <c r="G5" i="2"/>
  <c r="G15" i="2" s="1"/>
  <c r="Q5" i="2" s="1"/>
  <c r="Q15" i="2" s="1"/>
  <c r="F5" i="2"/>
  <c r="F6" i="2" s="1"/>
  <c r="F7" i="2" s="1"/>
  <c r="F8" i="2" s="1"/>
  <c r="F9" i="2" s="1"/>
  <c r="F10" i="2" s="1"/>
  <c r="F20" i="2" s="1"/>
  <c r="P10" i="2" s="1"/>
  <c r="E5" i="2"/>
  <c r="E6" i="2" s="1"/>
  <c r="E7" i="2" s="1"/>
  <c r="E8" i="2" s="1"/>
  <c r="E9" i="2" s="1"/>
  <c r="E10" i="2" s="1"/>
  <c r="E20" i="2" s="1"/>
  <c r="O10" i="2" s="1"/>
  <c r="D5" i="2"/>
  <c r="D15" i="2" s="1"/>
  <c r="N5" i="2" s="1"/>
  <c r="N15" i="2" s="1"/>
  <c r="C5" i="2"/>
  <c r="C6" i="2" s="1"/>
  <c r="K10" i="1"/>
  <c r="L10" i="1" s="1"/>
  <c r="K9" i="1"/>
  <c r="L9" i="1" s="1"/>
  <c r="K8" i="1"/>
  <c r="L8" i="1" s="1"/>
  <c r="K7" i="1"/>
  <c r="J13" i="1"/>
  <c r="J12" i="1"/>
  <c r="J11" i="1"/>
  <c r="J10" i="1"/>
  <c r="J9" i="1"/>
  <c r="J8" i="1"/>
  <c r="J7" i="1"/>
  <c r="H7" i="1"/>
  <c r="H8" i="1"/>
  <c r="H9" i="1" s="1"/>
  <c r="H10" i="1" s="1"/>
  <c r="H11" i="1" s="1"/>
  <c r="H12" i="1" s="1"/>
  <c r="H13" i="1" s="1"/>
  <c r="C16" i="1"/>
  <c r="E16" i="1" s="1"/>
  <c r="F16" i="1" s="1"/>
  <c r="O16" i="1" s="1"/>
  <c r="P16" i="1" s="1"/>
  <c r="Q16" i="1" s="1"/>
  <c r="C15" i="1"/>
  <c r="E15" i="1" s="1"/>
  <c r="N15" i="1" s="1"/>
  <c r="C14" i="1"/>
  <c r="E14" i="1" s="1"/>
  <c r="F14" i="1" s="1"/>
  <c r="C13" i="1"/>
  <c r="C12" i="1"/>
  <c r="E12" i="1" s="1"/>
  <c r="C11" i="1"/>
  <c r="E11" i="1" s="1"/>
  <c r="F11" i="1" s="1"/>
  <c r="C10" i="1"/>
  <c r="E10" i="1" s="1"/>
  <c r="F10" i="1" s="1"/>
  <c r="O10" i="1" s="1"/>
  <c r="P10" i="1" s="1"/>
  <c r="Q10" i="1" s="1"/>
  <c r="C9" i="1"/>
  <c r="E9" i="1" s="1"/>
  <c r="C8" i="1"/>
  <c r="E8" i="1" s="1"/>
  <c r="F8" i="1" s="1"/>
  <c r="C7" i="1"/>
  <c r="E7" i="1" s="1"/>
  <c r="F7" i="1" s="1"/>
  <c r="C6" i="1"/>
  <c r="E6" i="1" s="1"/>
  <c r="F6" i="1" s="1"/>
  <c r="O6" i="1" s="1"/>
  <c r="P6" i="1" s="1"/>
  <c r="C5" i="1"/>
  <c r="E5" i="1" s="1"/>
  <c r="F5" i="1" s="1"/>
  <c r="O5" i="1" s="1"/>
  <c r="K13" i="1" l="1"/>
  <c r="L13" i="1" s="1"/>
  <c r="H14" i="1"/>
  <c r="K14" i="1" s="1"/>
  <c r="L14" i="1" s="1"/>
  <c r="O14" i="1" s="1"/>
  <c r="P14" i="1" s="1"/>
  <c r="Q14" i="1" s="1"/>
  <c r="E12" i="2"/>
  <c r="F12" i="2"/>
  <c r="J12" i="2"/>
  <c r="O8" i="1"/>
  <c r="P8" i="1" s="1"/>
  <c r="N8" i="1"/>
  <c r="N16" i="1"/>
  <c r="P5" i="1"/>
  <c r="F12" i="1"/>
  <c r="F9" i="1"/>
  <c r="O9" i="1" s="1"/>
  <c r="P9" i="1" s="1"/>
  <c r="Q9" i="1" s="1"/>
  <c r="N9" i="1"/>
  <c r="N10" i="1"/>
  <c r="K12" i="1"/>
  <c r="L12" i="1" s="1"/>
  <c r="N6" i="1"/>
  <c r="L7" i="1"/>
  <c r="K11" i="1"/>
  <c r="L11" i="1" s="1"/>
  <c r="O11" i="1" s="1"/>
  <c r="P11" i="1" s="1"/>
  <c r="Q11" i="1" s="1"/>
  <c r="N5" i="1"/>
  <c r="N7" i="1"/>
  <c r="D6" i="2"/>
  <c r="C15" i="2"/>
  <c r="M5" i="2" s="1"/>
  <c r="M15" i="2" s="1"/>
  <c r="E15" i="2"/>
  <c r="O5" i="2" s="1"/>
  <c r="O15" i="2" s="1"/>
  <c r="F15" i="2"/>
  <c r="P5" i="2" s="1"/>
  <c r="P15" i="2" s="1"/>
  <c r="I15" i="2"/>
  <c r="S5" i="2" s="1"/>
  <c r="S15" i="2" s="1"/>
  <c r="E16" i="2"/>
  <c r="O6" i="2" s="1"/>
  <c r="O16" i="2" s="1"/>
  <c r="F16" i="2"/>
  <c r="P6" i="2" s="1"/>
  <c r="P16" i="2" s="1"/>
  <c r="J15" i="2"/>
  <c r="T5" i="2" s="1"/>
  <c r="T15" i="2" s="1"/>
  <c r="E19" i="2"/>
  <c r="O9" i="2" s="1"/>
  <c r="G6" i="2"/>
  <c r="C7" i="2"/>
  <c r="C16" i="2"/>
  <c r="M6" i="2" s="1"/>
  <c r="M16" i="2" s="1"/>
  <c r="I7" i="2"/>
  <c r="I16" i="2"/>
  <c r="S6" i="2" s="1"/>
  <c r="S16" i="2" s="1"/>
  <c r="J18" i="2"/>
  <c r="T8" i="2" s="1"/>
  <c r="T18" i="2" s="1"/>
  <c r="F19" i="2"/>
  <c r="P9" i="2" s="1"/>
  <c r="J16" i="2"/>
  <c r="T6" i="2" s="1"/>
  <c r="T16" i="2" s="1"/>
  <c r="E17" i="2"/>
  <c r="O7" i="2" s="1"/>
  <c r="O17" i="2" s="1"/>
  <c r="F17" i="2"/>
  <c r="P7" i="2" s="1"/>
  <c r="P17" i="2" s="1"/>
  <c r="J19" i="2"/>
  <c r="T9" i="2" s="1"/>
  <c r="H6" i="2"/>
  <c r="E18" i="2"/>
  <c r="O8" i="2" s="1"/>
  <c r="O18" i="2" s="1"/>
  <c r="J17" i="2"/>
  <c r="T7" i="2" s="1"/>
  <c r="T17" i="2" s="1"/>
  <c r="F18" i="2"/>
  <c r="C18" i="1"/>
  <c r="C19" i="1" s="1"/>
  <c r="E13" i="1"/>
  <c r="F15" i="1"/>
  <c r="O15" i="1" s="1"/>
  <c r="P15" i="1" s="1"/>
  <c r="Q15" i="1" s="1"/>
  <c r="N14" i="1" l="1"/>
  <c r="D7" i="2"/>
  <c r="D8" i="2" s="1"/>
  <c r="D9" i="2" s="1"/>
  <c r="D10" i="2" s="1"/>
  <c r="D20" i="2" s="1"/>
  <c r="N10" i="2" s="1"/>
  <c r="D12" i="2"/>
  <c r="T22" i="2"/>
  <c r="O22" i="2"/>
  <c r="N11" i="1"/>
  <c r="L18" i="1"/>
  <c r="L19" i="1" s="1"/>
  <c r="O7" i="1"/>
  <c r="F13" i="1"/>
  <c r="O13" i="1" s="1"/>
  <c r="P13" i="1" s="1"/>
  <c r="Q13" i="1" s="1"/>
  <c r="Q18" i="1" s="1"/>
  <c r="N13" i="1"/>
  <c r="N12" i="1"/>
  <c r="O12" i="1"/>
  <c r="P12" i="1" s="1"/>
  <c r="Q12" i="1" s="1"/>
  <c r="K18" i="1"/>
  <c r="F22" i="2"/>
  <c r="P12" i="2" s="1"/>
  <c r="P8" i="2"/>
  <c r="P18" i="2" s="1"/>
  <c r="P22" i="2" s="1"/>
  <c r="D19" i="2"/>
  <c r="N9" i="2" s="1"/>
  <c r="D17" i="2"/>
  <c r="N7" i="2" s="1"/>
  <c r="N17" i="2" s="1"/>
  <c r="D16" i="2"/>
  <c r="N6" i="2" s="1"/>
  <c r="N16" i="2" s="1"/>
  <c r="J22" i="2"/>
  <c r="T12" i="2" s="1"/>
  <c r="G7" i="2"/>
  <c r="G16" i="2"/>
  <c r="Q6" i="2" s="1"/>
  <c r="Q16" i="2" s="1"/>
  <c r="I8" i="2"/>
  <c r="I17" i="2"/>
  <c r="S7" i="2" s="1"/>
  <c r="S17" i="2" s="1"/>
  <c r="H7" i="2"/>
  <c r="H16" i="2"/>
  <c r="R6" i="2" s="1"/>
  <c r="R16" i="2" s="1"/>
  <c r="E22" i="2"/>
  <c r="O12" i="2" s="1"/>
  <c r="C8" i="2"/>
  <c r="C17" i="2"/>
  <c r="M7" i="2" s="1"/>
  <c r="M17" i="2" s="1"/>
  <c r="E18" i="1"/>
  <c r="E19" i="1" s="1"/>
  <c r="F19" i="1" s="1"/>
  <c r="F18" i="1"/>
  <c r="D18" i="2" l="1"/>
  <c r="D22" i="2" s="1"/>
  <c r="N12" i="2" s="1"/>
  <c r="P7" i="1"/>
  <c r="O18" i="1"/>
  <c r="O19" i="1" s="1"/>
  <c r="G8" i="2"/>
  <c r="G17" i="2"/>
  <c r="Q7" i="2" s="1"/>
  <c r="Q17" i="2" s="1"/>
  <c r="C9" i="2"/>
  <c r="C18" i="2"/>
  <c r="M8" i="2" s="1"/>
  <c r="M18" i="2" s="1"/>
  <c r="H8" i="2"/>
  <c r="H17" i="2"/>
  <c r="R7" i="2" s="1"/>
  <c r="R17" i="2" s="1"/>
  <c r="I9" i="2"/>
  <c r="I18" i="2"/>
  <c r="S8" i="2" s="1"/>
  <c r="S18" i="2" s="1"/>
  <c r="N8" i="2" l="1"/>
  <c r="N18" i="2" s="1"/>
  <c r="N22" i="2" s="1"/>
  <c r="G9" i="2"/>
  <c r="G18" i="2"/>
  <c r="Q8" i="2" s="1"/>
  <c r="Q18" i="2" s="1"/>
  <c r="C10" i="2"/>
  <c r="C19" i="2"/>
  <c r="M9" i="2" s="1"/>
  <c r="I10" i="2"/>
  <c r="I20" i="2" s="1"/>
  <c r="S10" i="2" s="1"/>
  <c r="I19" i="2"/>
  <c r="S9" i="2" s="1"/>
  <c r="S22" i="2" s="1"/>
  <c r="H9" i="2"/>
  <c r="H18" i="2"/>
  <c r="R8" i="2" s="1"/>
  <c r="R18" i="2" s="1"/>
  <c r="C20" i="2" l="1"/>
  <c r="M10" i="2" s="1"/>
  <c r="M22" i="2" s="1"/>
  <c r="C12" i="2"/>
  <c r="I12" i="2"/>
  <c r="I22" i="2"/>
  <c r="S12" i="2" s="1"/>
  <c r="G10" i="2"/>
  <c r="G19" i="2"/>
  <c r="Q9" i="2" s="1"/>
  <c r="H10" i="2"/>
  <c r="H19" i="2"/>
  <c r="R9" i="2" s="1"/>
  <c r="C22" i="2" l="1"/>
  <c r="M12" i="2" s="1"/>
  <c r="G20" i="2"/>
  <c r="Q10" i="2" s="1"/>
  <c r="Q22" i="2" s="1"/>
  <c r="G12" i="2"/>
  <c r="H20" i="2"/>
  <c r="R10" i="2" s="1"/>
  <c r="R22" i="2" s="1"/>
  <c r="H12" i="2"/>
  <c r="G22" i="2" l="1"/>
  <c r="Q12" i="2" s="1"/>
  <c r="H22" i="2"/>
  <c r="R12" i="2" s="1"/>
</calcChain>
</file>

<file path=xl/sharedStrings.xml><?xml version="1.0" encoding="utf-8"?>
<sst xmlns="http://schemas.openxmlformats.org/spreadsheetml/2006/main" count="80" uniqueCount="46">
  <si>
    <t>Jan</t>
  </si>
  <si>
    <t>Feb</t>
  </si>
  <si>
    <t>Mar</t>
  </si>
  <si>
    <t>Apr</t>
  </si>
  <si>
    <t>May</t>
  </si>
  <si>
    <t>Jun</t>
  </si>
  <si>
    <t>Jul</t>
  </si>
  <si>
    <t>Aug</t>
  </si>
  <si>
    <t>Sep</t>
  </si>
  <si>
    <t>Oct</t>
  </si>
  <si>
    <t>Nov</t>
  </si>
  <si>
    <t>Dec</t>
  </si>
  <si>
    <t>Cow weight</t>
  </si>
  <si>
    <t>Month</t>
  </si>
  <si>
    <t>Target intake %</t>
  </si>
  <si>
    <t>Daily intake</t>
  </si>
  <si>
    <t>Days/ Month</t>
  </si>
  <si>
    <t>Monthly intake</t>
  </si>
  <si>
    <t>AS SAU</t>
  </si>
  <si>
    <t>Starting cow wt</t>
  </si>
  <si>
    <t>lbs</t>
  </si>
  <si>
    <t>Calf wt</t>
  </si>
  <si>
    <t>Target ADG</t>
  </si>
  <si>
    <t>Daily Intake %</t>
  </si>
  <si>
    <t>Monthly Intake</t>
  </si>
  <si>
    <t>Calf birth wt</t>
  </si>
  <si>
    <t>Starting stocker wt</t>
  </si>
  <si>
    <t>Animal liveweight</t>
  </si>
  <si>
    <t>Forage consumption for period</t>
  </si>
  <si>
    <t>AUD consumed/head</t>
  </si>
  <si>
    <t># of stockers</t>
  </si>
  <si>
    <t>Cow-Calf Monthly as AUD</t>
  </si>
  <si>
    <t>Number of cows</t>
  </si>
  <si>
    <t>Monthly AUD for specified # of cows</t>
  </si>
  <si>
    <t>Annual means &amp; total use</t>
  </si>
  <si>
    <t>Annual mean &amp; total use</t>
  </si>
  <si>
    <t>Totals</t>
  </si>
  <si>
    <t>Cow-Calf  daily intake</t>
  </si>
  <si>
    <t>Cow-Calf monthly intake</t>
  </si>
  <si>
    <t>Total AUD consumption by specified number of stockers</t>
  </si>
  <si>
    <t>Consumption at ADG shown</t>
  </si>
  <si>
    <t>Average weight</t>
  </si>
  <si>
    <t>Monthly Forage Consumption (lbs of dry matter/head)</t>
  </si>
  <si>
    <t>Monthly AUD consumption per head</t>
  </si>
  <si>
    <t>Use this calculator to determine the daily, monthly, &amp; seasonal forage dry matter consumption by stockers at different ADG level. Enter the starting weight of the stockers and the number of stockers in the herd.</t>
  </si>
  <si>
    <t>Use this calculator to determine the annual forage consumption requirements of a cow-calf pair. The cow weight change pattern through the year is typical for a herd managed to keep BCS at 5-6. Just enter the expected Jan 1 weight of the dry pregnant cow &amp; all other weights will auto-adjust. You can also manually enter cow weights if you have a better record than the model shows. Calving is set for Mar 1st in this scenario. You can move the calf block earlier or later as needed. Calf ADG can be adjusted for your particular conditions. Just do a cut and paste of the calf block so that the calf starting weight is in the month when most of your calves come. Column Q allows you to determine monthly consumption for a particular number of cows as specified in cell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</si>
</sst>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1"/>
      <color rgb="FFC00000"/>
      <name val="Calibri"/>
      <family val="2"/>
      <scheme val="minor"/>
    </font>
    <font>
      <b/>
      <sz val="12"/>
      <color rgb="FF00B050"/>
      <name val="Calibri"/>
      <family val="2"/>
      <scheme val="minor"/>
    </font>
    <font>
      <b/>
      <sz val="14"/>
      <color rgb="FF00B05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2" fillId="0" borderId="0" xfId="0" applyFont="1" applyAlignment="1">
      <alignment horizontal="center" wrapText="1"/>
    </xf>
    <xf numFmtId="164" fontId="0" fillId="0" borderId="0" xfId="1" applyNumberFormat="1" applyFont="1"/>
    <xf numFmtId="10" fontId="0" fillId="0" borderId="0" xfId="1" applyNumberFormat="1" applyFont="1"/>
    <xf numFmtId="1" fontId="0" fillId="0" borderId="0" xfId="0" applyNumberFormat="1"/>
    <xf numFmtId="165" fontId="0" fillId="0" borderId="0" xfId="0" applyNumberFormat="1"/>
    <xf numFmtId="2" fontId="0" fillId="0" borderId="0" xfId="0" applyNumberFormat="1"/>
    <xf numFmtId="0" fontId="3" fillId="0" borderId="0" xfId="0" applyFont="1"/>
    <xf numFmtId="2" fontId="3" fillId="0" borderId="0" xfId="0" applyNumberFormat="1" applyFont="1"/>
    <xf numFmtId="166" fontId="0" fillId="0" borderId="0" xfId="1" applyNumberFormat="1" applyFont="1"/>
    <xf numFmtId="0" fontId="2" fillId="0" borderId="0" xfId="0" applyFont="1" applyAlignment="1">
      <alignment horizontal="center"/>
    </xf>
    <xf numFmtId="2" fontId="2" fillId="0" borderId="0" xfId="0" applyNumberFormat="1" applyFont="1" applyAlignment="1">
      <alignment horizontal="center"/>
    </xf>
    <xf numFmtId="1" fontId="2" fillId="0" borderId="0" xfId="0" applyNumberFormat="1" applyFont="1"/>
    <xf numFmtId="0" fontId="2" fillId="0" borderId="0" xfId="0" applyFont="1"/>
    <xf numFmtId="0" fontId="4" fillId="0" borderId="0" xfId="0" applyFont="1"/>
    <xf numFmtId="0" fontId="2" fillId="0" borderId="0" xfId="0" applyFont="1" applyAlignment="1">
      <alignment horizontal="right"/>
    </xf>
    <xf numFmtId="0" fontId="0" fillId="0" borderId="0" xfId="0" applyAlignment="1">
      <alignment horizontal="right"/>
    </xf>
    <xf numFmtId="1" fontId="5" fillId="0" borderId="0" xfId="0" applyNumberFormat="1" applyFont="1"/>
    <xf numFmtId="165" fontId="2" fillId="0" borderId="0" xfId="0" applyNumberFormat="1" applyFont="1"/>
    <xf numFmtId="2" fontId="2" fillId="0" borderId="0" xfId="0" applyNumberFormat="1" applyFont="1"/>
    <xf numFmtId="0" fontId="2" fillId="0" borderId="0" xfId="0" applyFont="1" applyAlignment="1">
      <alignment horizontal="right"/>
    </xf>
    <xf numFmtId="0" fontId="6" fillId="0" borderId="0" xfId="0" applyFont="1" applyAlignment="1">
      <alignment vertical="top" wrapText="1"/>
    </xf>
    <xf numFmtId="0" fontId="2" fillId="0" borderId="0" xfId="0" applyFont="1" applyAlignment="1">
      <alignment horizontal="center"/>
    </xf>
    <xf numFmtId="0" fontId="7" fillId="0" borderId="0" xfId="0" applyFont="1" applyAlignment="1">
      <alignment wrapText="1"/>
    </xf>
    <xf numFmtId="0" fontId="0" fillId="0" borderId="0" xfId="0"/>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spPr>
            <a:solidFill>
              <a:schemeClr val="accent2"/>
            </a:solidFill>
            <a:ln>
              <a:noFill/>
            </a:ln>
            <a:effectLst/>
          </c:spPr>
          <c:invertIfNegative val="0"/>
          <c:cat>
            <c:strRef>
              <c:f>'Stocker forage consumption'!$A$15:$A$20</c:f>
              <c:strCache>
                <c:ptCount val="6"/>
                <c:pt idx="0">
                  <c:v>May</c:v>
                </c:pt>
                <c:pt idx="1">
                  <c:v>Jun</c:v>
                </c:pt>
                <c:pt idx="2">
                  <c:v>Jul</c:v>
                </c:pt>
                <c:pt idx="3">
                  <c:v>Aug</c:v>
                </c:pt>
                <c:pt idx="4">
                  <c:v>Sep</c:v>
                </c:pt>
                <c:pt idx="5">
                  <c:v>Oct</c:v>
                </c:pt>
              </c:strCache>
            </c:strRef>
          </c:cat>
          <c:val>
            <c:numRef>
              <c:f>'Stocker forage consumption'!$F$15:$F$20</c:f>
              <c:numCache>
                <c:formatCode>0</c:formatCode>
                <c:ptCount val="6"/>
                <c:pt idx="0">
                  <c:v>511.46280000000002</c:v>
                </c:pt>
                <c:pt idx="1">
                  <c:v>544.46040000000005</c:v>
                </c:pt>
                <c:pt idx="2">
                  <c:v>615.46023600000001</c:v>
                </c:pt>
                <c:pt idx="3">
                  <c:v>668.31139200000007</c:v>
                </c:pt>
                <c:pt idx="4">
                  <c:v>696.24936000000002</c:v>
                </c:pt>
                <c:pt idx="5">
                  <c:v>772.30882800000006</c:v>
                </c:pt>
              </c:numCache>
            </c:numRef>
          </c:val>
          <c:extLst>
            <c:ext xmlns:c16="http://schemas.microsoft.com/office/drawing/2014/chart" uri="{C3380CC4-5D6E-409C-BE32-E72D297353CC}">
              <c16:uniqueId val="{00000001-DB43-4A0C-AB2B-E6D6549FEA6A}"/>
            </c:ext>
          </c:extLst>
        </c:ser>
        <c:ser>
          <c:idx val="2"/>
          <c:order val="1"/>
          <c:spPr>
            <a:solidFill>
              <a:schemeClr val="accent3"/>
            </a:solidFill>
            <a:ln>
              <a:noFill/>
            </a:ln>
            <a:effectLst/>
          </c:spPr>
          <c:invertIfNegative val="0"/>
          <c:cat>
            <c:strRef>
              <c:f>'Stocker forage consumption'!$A$15:$A$20</c:f>
              <c:strCache>
                <c:ptCount val="6"/>
                <c:pt idx="0">
                  <c:v>May</c:v>
                </c:pt>
                <c:pt idx="1">
                  <c:v>Jun</c:v>
                </c:pt>
                <c:pt idx="2">
                  <c:v>Jul</c:v>
                </c:pt>
                <c:pt idx="3">
                  <c:v>Aug</c:v>
                </c:pt>
                <c:pt idx="4">
                  <c:v>Sep</c:v>
                </c:pt>
                <c:pt idx="5">
                  <c:v>Oct</c:v>
                </c:pt>
              </c:strCache>
            </c:strRef>
          </c:cat>
          <c:val>
            <c:numRef>
              <c:f>'Stocker forage consumption'!$G$15:$G$20</c:f>
              <c:numCache>
                <c:formatCode>0</c:formatCode>
                <c:ptCount val="6"/>
                <c:pt idx="0">
                  <c:v>530.63939999999991</c:v>
                </c:pt>
                <c:pt idx="1">
                  <c:v>571.29322499999989</c:v>
                </c:pt>
                <c:pt idx="2">
                  <c:v>652.02316274999998</c:v>
                </c:pt>
                <c:pt idx="3">
                  <c:v>713.70999299999994</c:v>
                </c:pt>
                <c:pt idx="4">
                  <c:v>748.45831499999997</c:v>
                </c:pt>
                <c:pt idx="5">
                  <c:v>835.0937557499999</c:v>
                </c:pt>
              </c:numCache>
            </c:numRef>
          </c:val>
          <c:extLst>
            <c:ext xmlns:c16="http://schemas.microsoft.com/office/drawing/2014/chart" uri="{C3380CC4-5D6E-409C-BE32-E72D297353CC}">
              <c16:uniqueId val="{00000002-DB43-4A0C-AB2B-E6D6549FEA6A}"/>
            </c:ext>
          </c:extLst>
        </c:ser>
        <c:dLbls>
          <c:showLegendKey val="0"/>
          <c:showVal val="0"/>
          <c:showCatName val="0"/>
          <c:showSerName val="0"/>
          <c:showPercent val="0"/>
          <c:showBubbleSize val="0"/>
        </c:dLbls>
        <c:gapWidth val="219"/>
        <c:overlap val="-27"/>
        <c:axId val="2105388672"/>
        <c:axId val="2105389632"/>
      </c:barChart>
      <c:catAx>
        <c:axId val="2105388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389632"/>
        <c:crosses val="autoZero"/>
        <c:auto val="1"/>
        <c:lblAlgn val="ctr"/>
        <c:lblOffset val="100"/>
        <c:noMultiLvlLbl val="0"/>
      </c:catAx>
      <c:valAx>
        <c:axId val="2105389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5388672"/>
        <c:crosses val="autoZero"/>
        <c:crossBetween val="between"/>
      </c:valAx>
      <c:spPr>
        <a:noFill/>
        <a:ln>
          <a:noFill/>
        </a:ln>
        <a:effectLst/>
      </c:spPr>
    </c:plotArea>
    <c:legend>
      <c:legendPos val="b"/>
      <c:layout>
        <c:manualLayout>
          <c:xMode val="edge"/>
          <c:yMode val="edge"/>
          <c:x val="0.11800021872265962"/>
          <c:y val="0.17313061537265531"/>
          <c:w val="0.24177734033245843"/>
          <c:h val="7.933764978954500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762000</xdr:colOff>
      <xdr:row>23</xdr:row>
      <xdr:rowOff>26670</xdr:rowOff>
    </xdr:from>
    <xdr:to>
      <xdr:col>19</xdr:col>
      <xdr:colOff>342900</xdr:colOff>
      <xdr:row>37</xdr:row>
      <xdr:rowOff>167640</xdr:rowOff>
    </xdr:to>
    <xdr:graphicFrame macro="">
      <xdr:nvGraphicFramePr>
        <xdr:cNvPr id="2" name="Chart 1">
          <a:extLst>
            <a:ext uri="{FF2B5EF4-FFF2-40B4-BE49-F238E27FC236}">
              <a16:creationId xmlns:a16="http://schemas.microsoft.com/office/drawing/2014/main" id="{0E3A11B0-4F91-CF94-71A5-769C476747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FFEB-E4CD-4DBB-8875-688EF9C4BE22}">
  <dimension ref="A1:Q19"/>
  <sheetViews>
    <sheetView workbookViewId="0">
      <selection activeCell="A2" sqref="A2"/>
    </sheetView>
  </sheetViews>
  <sheetFormatPr defaultRowHeight="14.4" x14ac:dyDescent="0.3"/>
  <cols>
    <col min="1" max="1" width="14.21875" customWidth="1"/>
    <col min="2" max="2" width="9.21875" customWidth="1"/>
    <col min="7" max="7" width="3.44140625" customWidth="1"/>
    <col min="12" max="12" width="8.5546875" customWidth="1"/>
    <col min="13" max="13" width="3.5546875" customWidth="1"/>
    <col min="14" max="14" width="10.44140625" customWidth="1"/>
    <col min="17" max="17" width="15.6640625" customWidth="1"/>
  </cols>
  <sheetData>
    <row r="1" spans="1:17" ht="82.8" customHeight="1" x14ac:dyDescent="0.3">
      <c r="A1" s="21" t="s">
        <v>45</v>
      </c>
      <c r="B1" s="21"/>
      <c r="C1" s="21"/>
      <c r="D1" s="21"/>
      <c r="E1" s="21"/>
      <c r="F1" s="21"/>
      <c r="G1" s="21"/>
      <c r="H1" s="21"/>
      <c r="I1" s="21"/>
      <c r="J1" s="21"/>
      <c r="K1" s="21"/>
      <c r="L1" s="21"/>
      <c r="M1" s="21"/>
      <c r="N1" s="21"/>
      <c r="O1" s="21"/>
      <c r="P1" s="21"/>
      <c r="Q1" s="21"/>
    </row>
    <row r="2" spans="1:17" x14ac:dyDescent="0.3">
      <c r="A2" s="15" t="s">
        <v>19</v>
      </c>
      <c r="B2" s="7">
        <v>1200</v>
      </c>
      <c r="C2" t="s">
        <v>20</v>
      </c>
    </row>
    <row r="3" spans="1:17" x14ac:dyDescent="0.3">
      <c r="A3" s="15" t="s">
        <v>25</v>
      </c>
      <c r="B3" s="7">
        <v>70</v>
      </c>
      <c r="C3" t="s">
        <v>20</v>
      </c>
      <c r="N3" s="20" t="s">
        <v>32</v>
      </c>
      <c r="O3" s="20"/>
      <c r="P3" s="20"/>
      <c r="Q3" s="7">
        <v>200</v>
      </c>
    </row>
    <row r="4" spans="1:17" s="1" customFormat="1" ht="44.4" customHeight="1" x14ac:dyDescent="0.3">
      <c r="A4" s="1" t="s">
        <v>13</v>
      </c>
      <c r="B4" s="1" t="s">
        <v>16</v>
      </c>
      <c r="C4" s="1" t="s">
        <v>12</v>
      </c>
      <c r="D4" s="1" t="s">
        <v>14</v>
      </c>
      <c r="E4" s="1" t="s">
        <v>15</v>
      </c>
      <c r="F4" s="1" t="s">
        <v>17</v>
      </c>
      <c r="H4" s="1" t="s">
        <v>21</v>
      </c>
      <c r="I4" s="1" t="s">
        <v>22</v>
      </c>
      <c r="J4" s="1" t="s">
        <v>23</v>
      </c>
      <c r="K4" s="1" t="s">
        <v>15</v>
      </c>
      <c r="L4" s="1" t="s">
        <v>24</v>
      </c>
      <c r="N4" s="1" t="s">
        <v>37</v>
      </c>
      <c r="O4" s="1" t="s">
        <v>38</v>
      </c>
      <c r="P4" s="1" t="s">
        <v>31</v>
      </c>
      <c r="Q4" s="1" t="s">
        <v>33</v>
      </c>
    </row>
    <row r="5" spans="1:17" x14ac:dyDescent="0.3">
      <c r="A5" t="s">
        <v>0</v>
      </c>
      <c r="B5">
        <v>31</v>
      </c>
      <c r="C5">
        <f>B2*1</f>
        <v>1200</v>
      </c>
      <c r="D5" s="3">
        <v>2.1999999999999999E-2</v>
      </c>
      <c r="E5" s="5">
        <f>D5*C5</f>
        <v>26.4</v>
      </c>
      <c r="F5" s="4">
        <f>E5*B5</f>
        <v>818.4</v>
      </c>
      <c r="N5" s="5">
        <f t="shared" ref="N5:N6" si="0">E5+K5</f>
        <v>26.4</v>
      </c>
      <c r="O5" s="4">
        <f t="shared" ref="O5:O6" si="1">F5+L5</f>
        <v>818.4</v>
      </c>
      <c r="P5" s="5">
        <f>O5/26</f>
        <v>31.476923076923075</v>
      </c>
      <c r="Q5" s="17">
        <f t="shared" ref="Q5:Q8" si="2">$Q$3*P5</f>
        <v>6295.3846153846152</v>
      </c>
    </row>
    <row r="6" spans="1:17" x14ac:dyDescent="0.3">
      <c r="A6" t="s">
        <v>1</v>
      </c>
      <c r="B6">
        <v>28</v>
      </c>
      <c r="C6">
        <f>B2*1.03</f>
        <v>1236</v>
      </c>
      <c r="D6" s="3">
        <v>2.4E-2</v>
      </c>
      <c r="E6" s="5">
        <f t="shared" ref="E6:E16" si="3">D6*C6</f>
        <v>29.664000000000001</v>
      </c>
      <c r="F6" s="4">
        <f t="shared" ref="F6:F16" si="4">E6*B6</f>
        <v>830.5920000000001</v>
      </c>
      <c r="N6" s="5">
        <f t="shared" si="0"/>
        <v>29.664000000000001</v>
      </c>
      <c r="O6" s="4">
        <f t="shared" si="1"/>
        <v>830.5920000000001</v>
      </c>
      <c r="P6" s="5">
        <f t="shared" ref="P6:P16" si="5">O6/26</f>
        <v>31.945846153846158</v>
      </c>
      <c r="Q6" s="17">
        <f t="shared" si="2"/>
        <v>6389.1692307692319</v>
      </c>
    </row>
    <row r="7" spans="1:17" x14ac:dyDescent="0.3">
      <c r="A7" t="s">
        <v>2</v>
      </c>
      <c r="B7">
        <v>30</v>
      </c>
      <c r="C7">
        <f>B2*1.07</f>
        <v>1284</v>
      </c>
      <c r="D7" s="3">
        <v>2.5999999999999999E-2</v>
      </c>
      <c r="E7" s="5">
        <f t="shared" si="3"/>
        <v>33.384</v>
      </c>
      <c r="F7" s="4">
        <f t="shared" si="4"/>
        <v>1001.52</v>
      </c>
      <c r="H7">
        <f>B3</f>
        <v>70</v>
      </c>
      <c r="I7" s="8">
        <v>1.75</v>
      </c>
      <c r="J7" s="9">
        <f>0.01925+(0.004214*I7)</f>
        <v>2.6624499999999999E-2</v>
      </c>
      <c r="K7" s="6">
        <f>(0.025*J7)*H7</f>
        <v>4.6592875000000006E-2</v>
      </c>
      <c r="L7" s="5">
        <f>K7*B7</f>
        <v>1.3977862500000002</v>
      </c>
      <c r="N7" s="5">
        <f>E7+K7</f>
        <v>33.430592875000002</v>
      </c>
      <c r="O7" s="4">
        <f>F7+L7</f>
        <v>1002.9177862499999</v>
      </c>
      <c r="P7" s="5">
        <f t="shared" si="5"/>
        <v>38.573761009615382</v>
      </c>
      <c r="Q7" s="17">
        <f t="shared" si="2"/>
        <v>7714.7522019230764</v>
      </c>
    </row>
    <row r="8" spans="1:17" x14ac:dyDescent="0.3">
      <c r="A8" t="s">
        <v>3</v>
      </c>
      <c r="B8">
        <v>30</v>
      </c>
      <c r="C8">
        <f>B2*0.98</f>
        <v>1176</v>
      </c>
      <c r="D8" s="3">
        <v>2.8000000000000001E-2</v>
      </c>
      <c r="E8" s="5">
        <f t="shared" si="3"/>
        <v>32.927999999999997</v>
      </c>
      <c r="F8" s="4">
        <f t="shared" si="4"/>
        <v>987.83999999999992</v>
      </c>
      <c r="H8" s="4">
        <f>H7+(B7*I7)</f>
        <v>122.5</v>
      </c>
      <c r="I8" s="8">
        <v>2</v>
      </c>
      <c r="J8" s="9">
        <f t="shared" ref="J8:J14" si="6">0.01925+(0.004214*I8)</f>
        <v>2.7678000000000001E-2</v>
      </c>
      <c r="K8" s="6">
        <f>(J8*0.4)*H8</f>
        <v>1.3562220000000003</v>
      </c>
      <c r="L8" s="5">
        <f t="shared" ref="L8:L13" si="7">K8*B8</f>
        <v>40.68666000000001</v>
      </c>
      <c r="N8" s="5">
        <f t="shared" ref="N8:N16" si="8">E8+K8</f>
        <v>34.284222</v>
      </c>
      <c r="O8" s="4">
        <f t="shared" ref="O8:O16" si="9">F8+L8</f>
        <v>1028.52666</v>
      </c>
      <c r="P8" s="5">
        <f t="shared" si="5"/>
        <v>39.558717692307695</v>
      </c>
      <c r="Q8" s="17">
        <f t="shared" si="2"/>
        <v>7911.7435384615392</v>
      </c>
    </row>
    <row r="9" spans="1:17" x14ac:dyDescent="0.3">
      <c r="A9" t="s">
        <v>4</v>
      </c>
      <c r="B9">
        <v>31</v>
      </c>
      <c r="C9">
        <f>B2*0.96</f>
        <v>1152</v>
      </c>
      <c r="D9" s="3">
        <v>2.9000000000000001E-2</v>
      </c>
      <c r="E9" s="5">
        <f t="shared" si="3"/>
        <v>33.408000000000001</v>
      </c>
      <c r="F9" s="4">
        <f t="shared" si="4"/>
        <v>1035.6480000000001</v>
      </c>
      <c r="H9" s="4">
        <f t="shared" ref="H9:H14" si="10">H8+(B8*I8)</f>
        <v>182.5</v>
      </c>
      <c r="I9" s="8">
        <v>2.25</v>
      </c>
      <c r="J9" s="9">
        <f t="shared" si="6"/>
        <v>2.87315E-2</v>
      </c>
      <c r="K9" s="6">
        <f>(J9*0.5)*H9</f>
        <v>2.6217493749999998</v>
      </c>
      <c r="L9" s="5">
        <f t="shared" si="7"/>
        <v>81.274230625000001</v>
      </c>
      <c r="N9" s="5">
        <f t="shared" si="8"/>
        <v>36.029749375000002</v>
      </c>
      <c r="O9" s="4">
        <f t="shared" si="9"/>
        <v>1116.9222306250001</v>
      </c>
      <c r="P9" s="5">
        <f t="shared" si="5"/>
        <v>42.95854733173077</v>
      </c>
      <c r="Q9" s="17">
        <f t="shared" ref="Q9:Q16" si="11">$Q$3*P9</f>
        <v>8591.7094663461539</v>
      </c>
    </row>
    <row r="10" spans="1:17" x14ac:dyDescent="0.3">
      <c r="A10" t="s">
        <v>5</v>
      </c>
      <c r="B10">
        <v>30</v>
      </c>
      <c r="C10">
        <f>B2*0.975</f>
        <v>1170</v>
      </c>
      <c r="D10" s="3">
        <v>0.03</v>
      </c>
      <c r="E10" s="5">
        <f t="shared" si="3"/>
        <v>35.1</v>
      </c>
      <c r="F10" s="4">
        <f t="shared" si="4"/>
        <v>1053</v>
      </c>
      <c r="H10" s="4">
        <f t="shared" si="10"/>
        <v>252.25</v>
      </c>
      <c r="I10" s="8">
        <v>2.4</v>
      </c>
      <c r="J10" s="9">
        <f t="shared" si="6"/>
        <v>2.9363599999999997E-2</v>
      </c>
      <c r="K10" s="6">
        <f>(J10*0.6)*H10</f>
        <v>4.4441808599999995</v>
      </c>
      <c r="L10" s="5">
        <f t="shared" si="7"/>
        <v>133.32542579999998</v>
      </c>
      <c r="N10" s="5">
        <f t="shared" si="8"/>
        <v>39.544180859999997</v>
      </c>
      <c r="O10" s="4">
        <f t="shared" si="9"/>
        <v>1186.3254257999999</v>
      </c>
      <c r="P10" s="5">
        <f t="shared" si="5"/>
        <v>45.627900992307687</v>
      </c>
      <c r="Q10" s="17">
        <f t="shared" si="11"/>
        <v>9125.5801984615373</v>
      </c>
    </row>
    <row r="11" spans="1:17" x14ac:dyDescent="0.3">
      <c r="A11" t="s">
        <v>6</v>
      </c>
      <c r="B11">
        <v>31</v>
      </c>
      <c r="C11">
        <f>B2*1.01</f>
        <v>1212</v>
      </c>
      <c r="D11" s="3">
        <v>0.03</v>
      </c>
      <c r="E11" s="5">
        <f t="shared" si="3"/>
        <v>36.36</v>
      </c>
      <c r="F11" s="4">
        <f t="shared" si="4"/>
        <v>1127.1600000000001</v>
      </c>
      <c r="H11" s="4">
        <f t="shared" si="10"/>
        <v>324.25</v>
      </c>
      <c r="I11" s="8">
        <v>2.5</v>
      </c>
      <c r="J11" s="9">
        <f t="shared" si="6"/>
        <v>2.9784999999999999E-2</v>
      </c>
      <c r="K11" s="6">
        <f>(J11*0.7)*H11</f>
        <v>6.7604503749999987</v>
      </c>
      <c r="L11" s="5">
        <f t="shared" si="7"/>
        <v>209.57396162499995</v>
      </c>
      <c r="N11" s="5">
        <f t="shared" si="8"/>
        <v>43.120450374999997</v>
      </c>
      <c r="O11" s="4">
        <f t="shared" si="9"/>
        <v>1336.7339616250001</v>
      </c>
      <c r="P11" s="5">
        <f t="shared" si="5"/>
        <v>51.412844677884621</v>
      </c>
      <c r="Q11" s="17">
        <f t="shared" si="11"/>
        <v>10282.568935576925</v>
      </c>
    </row>
    <row r="12" spans="1:17" x14ac:dyDescent="0.3">
      <c r="A12" t="s">
        <v>7</v>
      </c>
      <c r="B12">
        <v>31</v>
      </c>
      <c r="C12">
        <f>B2*1.02</f>
        <v>1224</v>
      </c>
      <c r="D12" s="3">
        <v>2.8000000000000001E-2</v>
      </c>
      <c r="E12" s="5">
        <f t="shared" si="3"/>
        <v>34.271999999999998</v>
      </c>
      <c r="F12" s="4">
        <f t="shared" si="4"/>
        <v>1062.432</v>
      </c>
      <c r="H12" s="4">
        <f t="shared" si="10"/>
        <v>401.75</v>
      </c>
      <c r="I12" s="8">
        <v>2.5</v>
      </c>
      <c r="J12" s="9">
        <f t="shared" si="6"/>
        <v>2.9784999999999999E-2</v>
      </c>
      <c r="K12" s="6">
        <f>(J12*0.8)*H12</f>
        <v>9.5728990000000014</v>
      </c>
      <c r="L12" s="5">
        <f t="shared" si="7"/>
        <v>296.75986900000004</v>
      </c>
      <c r="N12" s="5">
        <f t="shared" si="8"/>
        <v>43.844898999999998</v>
      </c>
      <c r="O12" s="4">
        <f t="shared" si="9"/>
        <v>1359.191869</v>
      </c>
      <c r="P12" s="5">
        <f t="shared" si="5"/>
        <v>52.276610346153845</v>
      </c>
      <c r="Q12" s="17">
        <f>$Q$3*P12</f>
        <v>10455.32206923077</v>
      </c>
    </row>
    <row r="13" spans="1:17" x14ac:dyDescent="0.3">
      <c r="A13" t="s">
        <v>8</v>
      </c>
      <c r="B13">
        <v>30</v>
      </c>
      <c r="C13">
        <f>B2*1.02</f>
        <v>1224</v>
      </c>
      <c r="D13" s="3">
        <v>2.5999999999999999E-2</v>
      </c>
      <c r="E13" s="5">
        <f t="shared" si="3"/>
        <v>31.823999999999998</v>
      </c>
      <c r="F13" s="4">
        <f t="shared" si="4"/>
        <v>954.71999999999991</v>
      </c>
      <c r="H13" s="4">
        <f t="shared" si="10"/>
        <v>479.25</v>
      </c>
      <c r="I13" s="8">
        <v>2.5</v>
      </c>
      <c r="J13" s="9">
        <f t="shared" si="6"/>
        <v>2.9784999999999999E-2</v>
      </c>
      <c r="K13" s="6">
        <f>(J13*0.9)*H13</f>
        <v>12.847015125</v>
      </c>
      <c r="L13" s="5">
        <f t="shared" si="7"/>
        <v>385.41045374999999</v>
      </c>
      <c r="N13" s="5">
        <f t="shared" si="8"/>
        <v>44.671015124999997</v>
      </c>
      <c r="O13" s="4">
        <f t="shared" si="9"/>
        <v>1340.13045375</v>
      </c>
      <c r="P13" s="5">
        <f t="shared" si="5"/>
        <v>51.543478990384614</v>
      </c>
      <c r="Q13" s="17">
        <f t="shared" si="11"/>
        <v>10308.695798076922</v>
      </c>
    </row>
    <row r="14" spans="1:17" x14ac:dyDescent="0.3">
      <c r="A14" t="s">
        <v>9</v>
      </c>
      <c r="B14">
        <v>31</v>
      </c>
      <c r="C14">
        <f>B2*1.03</f>
        <v>1236</v>
      </c>
      <c r="D14" s="3">
        <v>2.5000000000000001E-2</v>
      </c>
      <c r="E14" s="5">
        <f t="shared" si="3"/>
        <v>30.900000000000002</v>
      </c>
      <c r="F14" s="4">
        <f t="shared" si="4"/>
        <v>957.90000000000009</v>
      </c>
      <c r="H14" s="4">
        <f t="shared" si="10"/>
        <v>554.25</v>
      </c>
      <c r="I14" s="8">
        <v>2.5</v>
      </c>
      <c r="J14" s="9">
        <f t="shared" si="6"/>
        <v>2.9784999999999999E-2</v>
      </c>
      <c r="K14" s="6">
        <f>(J14*0.9)*H14</f>
        <v>14.857502625</v>
      </c>
      <c r="L14" s="5">
        <f t="shared" ref="L14" si="12">K14*B14</f>
        <v>460.58258137500002</v>
      </c>
      <c r="N14" s="5">
        <f t="shared" si="8"/>
        <v>45.757502625000001</v>
      </c>
      <c r="O14" s="4">
        <f t="shared" si="9"/>
        <v>1418.4825813750001</v>
      </c>
      <c r="P14" s="5">
        <f t="shared" si="5"/>
        <v>54.55702236057693</v>
      </c>
      <c r="Q14" s="17">
        <f t="shared" si="11"/>
        <v>10911.404472115386</v>
      </c>
    </row>
    <row r="15" spans="1:17" x14ac:dyDescent="0.3">
      <c r="A15" t="s">
        <v>10</v>
      </c>
      <c r="B15">
        <v>30</v>
      </c>
      <c r="C15">
        <f>B2*1.035</f>
        <v>1242</v>
      </c>
      <c r="D15" s="3">
        <v>2.1999999999999999E-2</v>
      </c>
      <c r="E15" s="5">
        <f t="shared" si="3"/>
        <v>27.323999999999998</v>
      </c>
      <c r="F15" s="4">
        <f t="shared" si="4"/>
        <v>819.71999999999991</v>
      </c>
      <c r="L15" s="5"/>
      <c r="N15" s="5">
        <f t="shared" si="8"/>
        <v>27.323999999999998</v>
      </c>
      <c r="O15" s="4">
        <f t="shared" si="9"/>
        <v>819.71999999999991</v>
      </c>
      <c r="P15" s="5">
        <f t="shared" si="5"/>
        <v>31.527692307692305</v>
      </c>
      <c r="Q15" s="17">
        <f t="shared" si="11"/>
        <v>6305.538461538461</v>
      </c>
    </row>
    <row r="16" spans="1:17" x14ac:dyDescent="0.3">
      <c r="A16" t="s">
        <v>11</v>
      </c>
      <c r="B16">
        <v>31</v>
      </c>
      <c r="C16">
        <f>B2*1.015</f>
        <v>1217.9999999999998</v>
      </c>
      <c r="D16" s="3">
        <v>2.1999999999999999E-2</v>
      </c>
      <c r="E16" s="5">
        <f t="shared" si="3"/>
        <v>26.795999999999992</v>
      </c>
      <c r="F16" s="4">
        <f t="shared" si="4"/>
        <v>830.6759999999997</v>
      </c>
      <c r="L16" s="5"/>
      <c r="N16" s="5">
        <f t="shared" si="8"/>
        <v>26.795999999999992</v>
      </c>
      <c r="O16" s="4">
        <f t="shared" si="9"/>
        <v>830.6759999999997</v>
      </c>
      <c r="P16" s="5">
        <f t="shared" si="5"/>
        <v>31.949076923076912</v>
      </c>
      <c r="Q16" s="17">
        <f t="shared" si="11"/>
        <v>6389.8153846153828</v>
      </c>
    </row>
    <row r="18" spans="1:17" x14ac:dyDescent="0.3">
      <c r="A18" s="20" t="s">
        <v>34</v>
      </c>
      <c r="B18" s="20"/>
      <c r="C18" s="12">
        <f>AVERAGE(C5:C16)</f>
        <v>1214.5</v>
      </c>
      <c r="D18" s="13"/>
      <c r="E18" s="18">
        <f>AVERAGE(E5:E16)</f>
        <v>31.529999999999998</v>
      </c>
      <c r="F18" s="12">
        <f>SUM(F5:F16)</f>
        <v>11479.607999999998</v>
      </c>
      <c r="H18" s="20" t="s">
        <v>35</v>
      </c>
      <c r="I18" s="20"/>
      <c r="J18" s="20"/>
      <c r="K18" s="18">
        <f>AVERAGE(K5:K16)</f>
        <v>6.5633265293749998</v>
      </c>
      <c r="L18" s="12">
        <f>SUM(L5:L16)</f>
        <v>1609.0109684249999</v>
      </c>
      <c r="N18" s="13" t="s">
        <v>36</v>
      </c>
      <c r="O18" s="12">
        <f>SUM(O5:O16)</f>
        <v>13088.618968424998</v>
      </c>
      <c r="Q18" s="12">
        <f>SUM(Q5:Q16)</f>
        <v>100681.68437250002</v>
      </c>
    </row>
    <row r="19" spans="1:17" x14ac:dyDescent="0.3">
      <c r="A19" s="20" t="s">
        <v>18</v>
      </c>
      <c r="B19" s="20"/>
      <c r="C19" s="19">
        <f>C18/1000</f>
        <v>1.2144999999999999</v>
      </c>
      <c r="D19" s="13"/>
      <c r="E19" s="18">
        <f>E18/C19</f>
        <v>25.961300946891726</v>
      </c>
      <c r="F19" s="12">
        <f>E19*365</f>
        <v>9475.874845615479</v>
      </c>
      <c r="L19" s="12">
        <f>L18/26</f>
        <v>61.885037247115378</v>
      </c>
      <c r="O19" s="2">
        <f>(O18-F18)/F18</f>
        <v>0.14016253590061614</v>
      </c>
    </row>
  </sheetData>
  <mergeCells count="5">
    <mergeCell ref="A19:B19"/>
    <mergeCell ref="N3:P3"/>
    <mergeCell ref="A1:Q1"/>
    <mergeCell ref="A18:B18"/>
    <mergeCell ref="H18: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C534-47F2-4600-A946-80D8A55C2646}">
  <dimension ref="A1:T23"/>
  <sheetViews>
    <sheetView tabSelected="1" topLeftCell="A14" zoomScaleNormal="100" workbookViewId="0">
      <selection activeCell="K26" sqref="K26"/>
    </sheetView>
  </sheetViews>
  <sheetFormatPr defaultRowHeight="14.4" x14ac:dyDescent="0.3"/>
  <cols>
    <col min="1" max="1" width="19.77734375" customWidth="1"/>
    <col min="3" max="10" width="6.77734375" customWidth="1"/>
    <col min="11" max="11" width="18.21875" customWidth="1"/>
    <col min="12" max="12" width="7.109375" customWidth="1"/>
    <col min="13" max="20" width="6.77734375" customWidth="1"/>
  </cols>
  <sheetData>
    <row r="1" spans="1:20" ht="37.799999999999997" customHeight="1" x14ac:dyDescent="0.35">
      <c r="A1" s="23" t="s">
        <v>44</v>
      </c>
      <c r="B1" s="23"/>
      <c r="C1" s="23"/>
      <c r="D1" s="23"/>
      <c r="E1" s="23"/>
      <c r="F1" s="23"/>
      <c r="G1" s="23"/>
      <c r="H1" s="23"/>
      <c r="I1" s="23"/>
      <c r="J1" s="23"/>
      <c r="K1" s="23"/>
      <c r="L1" s="23"/>
      <c r="M1" s="23"/>
      <c r="N1" s="23"/>
      <c r="O1" s="23"/>
      <c r="P1" s="23"/>
      <c r="Q1" s="23"/>
      <c r="R1" s="23"/>
      <c r="S1" s="23"/>
      <c r="T1" s="23"/>
    </row>
    <row r="2" spans="1:20" s="13" customFormat="1" x14ac:dyDescent="0.3">
      <c r="A2" s="20" t="s">
        <v>26</v>
      </c>
      <c r="B2" s="20"/>
      <c r="C2" s="14">
        <v>600</v>
      </c>
      <c r="K2" s="15" t="s">
        <v>30</v>
      </c>
      <c r="L2" s="14">
        <v>280</v>
      </c>
    </row>
    <row r="3" spans="1:20" s="10" customFormat="1" x14ac:dyDescent="0.3">
      <c r="A3" s="22" t="s">
        <v>22</v>
      </c>
      <c r="B3" s="22"/>
      <c r="C3" s="11">
        <v>1.25</v>
      </c>
      <c r="D3" s="11">
        <v>1.5</v>
      </c>
      <c r="E3" s="11">
        <v>1.75</v>
      </c>
      <c r="F3" s="11">
        <v>2</v>
      </c>
      <c r="G3" s="11">
        <v>2.25</v>
      </c>
      <c r="H3" s="11">
        <v>2.5</v>
      </c>
      <c r="I3" s="10">
        <v>2.75</v>
      </c>
      <c r="J3" s="11">
        <v>3</v>
      </c>
      <c r="M3" s="11">
        <v>1.25</v>
      </c>
      <c r="N3" s="11">
        <v>1.5</v>
      </c>
      <c r="O3" s="11">
        <v>1.75</v>
      </c>
      <c r="P3" s="11">
        <v>2</v>
      </c>
      <c r="Q3" s="11">
        <v>2.25</v>
      </c>
      <c r="R3" s="11">
        <v>2.5</v>
      </c>
      <c r="S3" s="10">
        <v>2.75</v>
      </c>
      <c r="T3" s="11">
        <v>3</v>
      </c>
    </row>
    <row r="4" spans="1:20" ht="28.8" x14ac:dyDescent="0.3">
      <c r="A4" s="1" t="s">
        <v>13</v>
      </c>
      <c r="B4" s="1" t="s">
        <v>16</v>
      </c>
      <c r="C4" s="22" t="s">
        <v>27</v>
      </c>
      <c r="D4" s="22"/>
      <c r="E4" s="22"/>
      <c r="F4" s="22"/>
      <c r="G4" s="22"/>
      <c r="H4" s="22"/>
      <c r="I4" s="22"/>
      <c r="J4" s="22"/>
      <c r="K4" s="1" t="s">
        <v>13</v>
      </c>
      <c r="L4" s="1" t="s">
        <v>16</v>
      </c>
      <c r="M4" s="22" t="s">
        <v>43</v>
      </c>
      <c r="N4" s="22"/>
      <c r="O4" s="22"/>
      <c r="P4" s="22"/>
      <c r="Q4" s="22"/>
      <c r="R4" s="22"/>
      <c r="S4" s="22"/>
      <c r="T4" s="22"/>
    </row>
    <row r="5" spans="1:20" x14ac:dyDescent="0.3">
      <c r="A5" s="16" t="s">
        <v>4</v>
      </c>
      <c r="B5">
        <v>31</v>
      </c>
      <c r="C5">
        <f t="shared" ref="C5:J5" si="0">$C$2</f>
        <v>600</v>
      </c>
      <c r="D5">
        <f t="shared" si="0"/>
        <v>600</v>
      </c>
      <c r="E5">
        <f t="shared" si="0"/>
        <v>600</v>
      </c>
      <c r="F5">
        <f t="shared" si="0"/>
        <v>600</v>
      </c>
      <c r="G5">
        <f t="shared" si="0"/>
        <v>600</v>
      </c>
      <c r="H5">
        <f t="shared" si="0"/>
        <v>600</v>
      </c>
      <c r="I5">
        <f t="shared" si="0"/>
        <v>600</v>
      </c>
      <c r="J5">
        <f t="shared" si="0"/>
        <v>600</v>
      </c>
      <c r="K5" s="16" t="s">
        <v>4</v>
      </c>
      <c r="L5">
        <v>31</v>
      </c>
      <c r="M5" s="5">
        <f t="shared" ref="M5:T10" si="1">C15/26</f>
        <v>17.458961538461537</v>
      </c>
      <c r="N5" s="5">
        <f t="shared" si="1"/>
        <v>18.196523076923079</v>
      </c>
      <c r="O5" s="5">
        <f t="shared" si="1"/>
        <v>18.934084615384617</v>
      </c>
      <c r="P5" s="5">
        <f t="shared" si="1"/>
        <v>19.671646153846154</v>
      </c>
      <c r="Q5" s="5">
        <f t="shared" si="1"/>
        <v>20.409207692307689</v>
      </c>
      <c r="R5" s="5">
        <f t="shared" si="1"/>
        <v>21.146769230769227</v>
      </c>
      <c r="S5" s="5">
        <f t="shared" si="1"/>
        <v>21.884330769230772</v>
      </c>
      <c r="T5" s="5">
        <f t="shared" si="1"/>
        <v>22.621892307692306</v>
      </c>
    </row>
    <row r="6" spans="1:20" x14ac:dyDescent="0.3">
      <c r="A6" s="16" t="s">
        <v>5</v>
      </c>
      <c r="B6">
        <v>30</v>
      </c>
      <c r="C6" s="4">
        <f>C5+(C$3*$B6)</f>
        <v>637.5</v>
      </c>
      <c r="D6" s="4">
        <f t="shared" ref="D6:J10" si="2">D5+(D$3*$B6)</f>
        <v>645</v>
      </c>
      <c r="E6" s="4">
        <f t="shared" si="2"/>
        <v>652.5</v>
      </c>
      <c r="F6" s="4">
        <f t="shared" si="2"/>
        <v>660</v>
      </c>
      <c r="G6" s="4">
        <f t="shared" si="2"/>
        <v>667.5</v>
      </c>
      <c r="H6" s="4">
        <f t="shared" si="2"/>
        <v>675</v>
      </c>
      <c r="I6" s="4">
        <f t="shared" si="2"/>
        <v>682.5</v>
      </c>
      <c r="J6" s="4">
        <f t="shared" si="2"/>
        <v>690</v>
      </c>
      <c r="K6" s="16" t="s">
        <v>5</v>
      </c>
      <c r="L6">
        <v>30</v>
      </c>
      <c r="M6" s="5">
        <f t="shared" si="1"/>
        <v>17.951754807692307</v>
      </c>
      <c r="N6" s="5">
        <f t="shared" si="1"/>
        <v>18.930253846153846</v>
      </c>
      <c r="O6" s="5">
        <f t="shared" si="1"/>
        <v>19.926597115384617</v>
      </c>
      <c r="P6" s="5">
        <f t="shared" si="1"/>
        <v>20.940784615384619</v>
      </c>
      <c r="Q6" s="5">
        <f t="shared" si="1"/>
        <v>21.972816346153841</v>
      </c>
      <c r="R6" s="5">
        <f t="shared" si="1"/>
        <v>23.02269230769231</v>
      </c>
      <c r="S6" s="5">
        <f t="shared" si="1"/>
        <v>24.090412499999999</v>
      </c>
      <c r="T6" s="5">
        <f t="shared" si="1"/>
        <v>25.17597692307692</v>
      </c>
    </row>
    <row r="7" spans="1:20" x14ac:dyDescent="0.3">
      <c r="A7" s="16" t="s">
        <v>6</v>
      </c>
      <c r="B7">
        <v>31</v>
      </c>
      <c r="C7" s="4">
        <f t="shared" ref="C7:C10" si="3">C6+(C$3*$B7)</f>
        <v>676.25</v>
      </c>
      <c r="D7" s="4">
        <f t="shared" si="2"/>
        <v>691.5</v>
      </c>
      <c r="E7" s="4">
        <f t="shared" si="2"/>
        <v>706.75</v>
      </c>
      <c r="F7" s="4">
        <f t="shared" si="2"/>
        <v>722</v>
      </c>
      <c r="G7" s="4">
        <f t="shared" si="2"/>
        <v>737.25</v>
      </c>
      <c r="H7" s="4">
        <f t="shared" si="2"/>
        <v>752.5</v>
      </c>
      <c r="I7" s="4">
        <f t="shared" si="2"/>
        <v>767.75</v>
      </c>
      <c r="J7" s="4">
        <f t="shared" si="2"/>
        <v>783</v>
      </c>
      <c r="K7" s="16" t="s">
        <v>6</v>
      </c>
      <c r="L7">
        <v>31</v>
      </c>
      <c r="M7" s="5">
        <f t="shared" si="1"/>
        <v>19.677704567307693</v>
      </c>
      <c r="N7" s="5">
        <f t="shared" si="1"/>
        <v>20.971492846153847</v>
      </c>
      <c r="O7" s="5">
        <f t="shared" si="1"/>
        <v>22.302773836538464</v>
      </c>
      <c r="P7" s="5">
        <f t="shared" si="1"/>
        <v>23.671547538461539</v>
      </c>
      <c r="Q7" s="5">
        <f t="shared" si="1"/>
        <v>25.077813951923076</v>
      </c>
      <c r="R7" s="5">
        <f t="shared" si="1"/>
        <v>26.521573076923076</v>
      </c>
      <c r="S7" s="5">
        <f t="shared" si="1"/>
        <v>28.002824913461538</v>
      </c>
      <c r="T7" s="5">
        <f t="shared" si="1"/>
        <v>29.521569461538459</v>
      </c>
    </row>
    <row r="8" spans="1:20" x14ac:dyDescent="0.3">
      <c r="A8" s="16" t="s">
        <v>7</v>
      </c>
      <c r="B8">
        <v>31</v>
      </c>
      <c r="C8" s="4">
        <f t="shared" si="3"/>
        <v>715</v>
      </c>
      <c r="D8" s="4">
        <f t="shared" si="2"/>
        <v>738</v>
      </c>
      <c r="E8" s="4">
        <f t="shared" si="2"/>
        <v>761</v>
      </c>
      <c r="F8" s="4">
        <f t="shared" si="2"/>
        <v>784</v>
      </c>
      <c r="G8" s="4">
        <f t="shared" si="2"/>
        <v>807</v>
      </c>
      <c r="H8" s="4">
        <f t="shared" si="2"/>
        <v>830</v>
      </c>
      <c r="I8" s="4">
        <f t="shared" si="2"/>
        <v>853</v>
      </c>
      <c r="J8" s="4">
        <f t="shared" si="2"/>
        <v>876</v>
      </c>
      <c r="K8" s="16" t="s">
        <v>7</v>
      </c>
      <c r="L8">
        <v>31</v>
      </c>
      <c r="M8" s="5">
        <f t="shared" si="1"/>
        <v>20.805262500000001</v>
      </c>
      <c r="N8" s="5">
        <f t="shared" si="1"/>
        <v>22.381723384615384</v>
      </c>
      <c r="O8" s="5">
        <f t="shared" si="1"/>
        <v>24.014730653846154</v>
      </c>
      <c r="P8" s="5">
        <f t="shared" si="1"/>
        <v>25.704284307692312</v>
      </c>
      <c r="Q8" s="5">
        <f t="shared" si="1"/>
        <v>27.450384346153843</v>
      </c>
      <c r="R8" s="5">
        <f t="shared" si="1"/>
        <v>29.253030769230769</v>
      </c>
      <c r="S8" s="5">
        <f t="shared" si="1"/>
        <v>31.112223576923078</v>
      </c>
      <c r="T8" s="5">
        <f t="shared" si="1"/>
        <v>33.027962769230768</v>
      </c>
    </row>
    <row r="9" spans="1:20" x14ac:dyDescent="0.3">
      <c r="A9" s="16" t="s">
        <v>8</v>
      </c>
      <c r="B9">
        <v>30</v>
      </c>
      <c r="C9" s="4">
        <f t="shared" si="3"/>
        <v>752.5</v>
      </c>
      <c r="D9" s="4">
        <f t="shared" si="2"/>
        <v>783</v>
      </c>
      <c r="E9" s="4">
        <f t="shared" si="2"/>
        <v>813.5</v>
      </c>
      <c r="F9" s="4">
        <f t="shared" si="2"/>
        <v>844</v>
      </c>
      <c r="G9" s="4">
        <f t="shared" si="2"/>
        <v>874.5</v>
      </c>
      <c r="H9" s="4">
        <f t="shared" si="2"/>
        <v>905</v>
      </c>
      <c r="I9" s="4">
        <f t="shared" si="2"/>
        <v>935.5</v>
      </c>
      <c r="J9" s="4">
        <f t="shared" si="2"/>
        <v>966</v>
      </c>
      <c r="K9" s="16" t="s">
        <v>8</v>
      </c>
      <c r="L9">
        <v>30</v>
      </c>
      <c r="M9" s="5">
        <f t="shared" si="1"/>
        <v>21.190110576923075</v>
      </c>
      <c r="N9" s="5">
        <f t="shared" si="1"/>
        <v>22.980447692307692</v>
      </c>
      <c r="O9" s="5">
        <f t="shared" si="1"/>
        <v>24.843351346153845</v>
      </c>
      <c r="P9" s="5">
        <f t="shared" si="1"/>
        <v>26.778821538461539</v>
      </c>
      <c r="Q9" s="5">
        <f t="shared" si="1"/>
        <v>28.78685826923077</v>
      </c>
      <c r="R9" s="5">
        <f t="shared" si="1"/>
        <v>30.867461538461537</v>
      </c>
      <c r="S9" s="5">
        <f t="shared" si="1"/>
        <v>33.020631346153849</v>
      </c>
      <c r="T9" s="5">
        <f t="shared" si="1"/>
        <v>35.246367692307686</v>
      </c>
    </row>
    <row r="10" spans="1:20" x14ac:dyDescent="0.3">
      <c r="A10" s="16" t="s">
        <v>9</v>
      </c>
      <c r="B10">
        <v>31</v>
      </c>
      <c r="C10" s="4">
        <f t="shared" si="3"/>
        <v>791.25</v>
      </c>
      <c r="D10" s="4">
        <f t="shared" si="2"/>
        <v>829.5</v>
      </c>
      <c r="E10" s="4">
        <f t="shared" si="2"/>
        <v>867.75</v>
      </c>
      <c r="F10" s="4">
        <f t="shared" si="2"/>
        <v>906</v>
      </c>
      <c r="G10" s="4">
        <f t="shared" si="2"/>
        <v>944.25</v>
      </c>
      <c r="H10" s="4">
        <f t="shared" si="2"/>
        <v>982.5</v>
      </c>
      <c r="I10" s="4">
        <f t="shared" si="2"/>
        <v>1020.75</v>
      </c>
      <c r="J10" s="4">
        <f t="shared" si="2"/>
        <v>1059</v>
      </c>
      <c r="K10" s="16" t="s">
        <v>9</v>
      </c>
      <c r="L10">
        <v>31</v>
      </c>
      <c r="M10" s="5">
        <f t="shared" si="1"/>
        <v>23.024005528846153</v>
      </c>
      <c r="N10" s="5">
        <f t="shared" si="1"/>
        <v>25.156693153846156</v>
      </c>
      <c r="O10" s="5">
        <f t="shared" si="1"/>
        <v>27.383419875000001</v>
      </c>
      <c r="P10" s="5">
        <f t="shared" si="1"/>
        <v>29.704185692307696</v>
      </c>
      <c r="Q10" s="5">
        <f t="shared" si="1"/>
        <v>32.118990605769227</v>
      </c>
      <c r="R10" s="5">
        <f t="shared" si="1"/>
        <v>34.627834615384614</v>
      </c>
      <c r="S10" s="5">
        <f t="shared" si="1"/>
        <v>37.230717721153844</v>
      </c>
      <c r="T10" s="5">
        <f t="shared" si="1"/>
        <v>39.927639923076917</v>
      </c>
    </row>
    <row r="11" spans="1:20" x14ac:dyDescent="0.3">
      <c r="C11" s="4"/>
      <c r="D11" s="4"/>
      <c r="E11" s="4"/>
      <c r="F11" s="4"/>
      <c r="G11" s="4"/>
      <c r="H11" s="4"/>
      <c r="I11" s="4"/>
      <c r="J11" s="4"/>
    </row>
    <row r="12" spans="1:20" x14ac:dyDescent="0.3">
      <c r="A12" s="20" t="s">
        <v>41</v>
      </c>
      <c r="B12" s="20"/>
      <c r="C12" s="12">
        <f>AVERAGE(C5:C10)</f>
        <v>695.41666666666663</v>
      </c>
      <c r="D12" s="12">
        <f t="shared" ref="D12:J12" si="4">AVERAGE(D5:D10)</f>
        <v>714.5</v>
      </c>
      <c r="E12" s="12">
        <f t="shared" si="4"/>
        <v>733.58333333333337</v>
      </c>
      <c r="F12" s="12">
        <f t="shared" si="4"/>
        <v>752.66666666666663</v>
      </c>
      <c r="G12" s="12">
        <f t="shared" si="4"/>
        <v>771.75</v>
      </c>
      <c r="H12" s="12">
        <f t="shared" si="4"/>
        <v>790.83333333333337</v>
      </c>
      <c r="I12" s="12">
        <f t="shared" si="4"/>
        <v>809.91666666666663</v>
      </c>
      <c r="J12" s="12">
        <f t="shared" si="4"/>
        <v>829</v>
      </c>
      <c r="K12" s="20" t="s">
        <v>29</v>
      </c>
      <c r="L12" s="20"/>
      <c r="M12" s="12">
        <f t="shared" ref="M12:T12" si="5">C22/26</f>
        <v>120.10779951923077</v>
      </c>
      <c r="N12" s="12">
        <f t="shared" si="5"/>
        <v>128.61713400000002</v>
      </c>
      <c r="O12" s="12">
        <f t="shared" si="5"/>
        <v>137.4049574423077</v>
      </c>
      <c r="P12" s="12">
        <f t="shared" si="5"/>
        <v>146.47126984615386</v>
      </c>
      <c r="Q12" s="12">
        <f t="shared" si="5"/>
        <v>155.81607121153846</v>
      </c>
      <c r="R12" s="12">
        <f t="shared" si="5"/>
        <v>165.43936153846153</v>
      </c>
      <c r="S12" s="12">
        <f t="shared" si="5"/>
        <v>175.34114082692307</v>
      </c>
      <c r="T12" s="12">
        <f t="shared" si="5"/>
        <v>185.52140907692305</v>
      </c>
    </row>
    <row r="14" spans="1:20" ht="28.8" x14ac:dyDescent="0.3">
      <c r="A14" s="1" t="s">
        <v>13</v>
      </c>
      <c r="B14" s="1" t="s">
        <v>16</v>
      </c>
      <c r="C14" s="22" t="s">
        <v>42</v>
      </c>
      <c r="D14" s="22"/>
      <c r="E14" s="22"/>
      <c r="F14" s="22"/>
      <c r="G14" s="22"/>
      <c r="H14" s="22"/>
      <c r="I14" s="22"/>
      <c r="J14" s="22"/>
      <c r="K14" s="1" t="s">
        <v>13</v>
      </c>
      <c r="M14" s="22" t="s">
        <v>39</v>
      </c>
      <c r="N14" s="22"/>
      <c r="O14" s="22"/>
      <c r="P14" s="22"/>
      <c r="Q14" s="22"/>
      <c r="R14" s="22"/>
      <c r="S14" s="22"/>
      <c r="T14" s="22"/>
    </row>
    <row r="15" spans="1:20" x14ac:dyDescent="0.3">
      <c r="A15" s="16" t="s">
        <v>4</v>
      </c>
      <c r="B15">
        <v>31</v>
      </c>
      <c r="C15" s="4">
        <f t="shared" ref="C15:J20" si="6">C5*((0.01925+(0.004124*C$3))*$B15)</f>
        <v>453.93299999999999</v>
      </c>
      <c r="D15" s="4">
        <f t="shared" si="6"/>
        <v>473.1096</v>
      </c>
      <c r="E15" s="4">
        <f t="shared" si="6"/>
        <v>492.28620000000001</v>
      </c>
      <c r="F15" s="4">
        <f t="shared" si="6"/>
        <v>511.46280000000002</v>
      </c>
      <c r="G15" s="4">
        <f t="shared" si="6"/>
        <v>530.63939999999991</v>
      </c>
      <c r="H15" s="4">
        <f t="shared" si="6"/>
        <v>549.81599999999992</v>
      </c>
      <c r="I15" s="4">
        <f t="shared" si="6"/>
        <v>568.99260000000004</v>
      </c>
      <c r="J15" s="4">
        <f t="shared" si="6"/>
        <v>588.16919999999993</v>
      </c>
      <c r="K15" s="16" t="s">
        <v>4</v>
      </c>
      <c r="M15" s="4">
        <f t="shared" ref="M15:T18" si="7">$L$2*M5</f>
        <v>4888.5092307692303</v>
      </c>
      <c r="N15" s="4">
        <f t="shared" si="7"/>
        <v>5095.0264615384622</v>
      </c>
      <c r="O15" s="4">
        <f t="shared" si="7"/>
        <v>5301.5436923076923</v>
      </c>
      <c r="P15" s="4">
        <f t="shared" si="7"/>
        <v>5508.0609230769232</v>
      </c>
      <c r="Q15" s="4">
        <f t="shared" si="7"/>
        <v>5714.5781538461524</v>
      </c>
      <c r="R15" s="4">
        <f t="shared" si="7"/>
        <v>5921.0953846153834</v>
      </c>
      <c r="S15" s="4">
        <f t="shared" si="7"/>
        <v>6127.6126153846162</v>
      </c>
      <c r="T15" s="4">
        <f t="shared" si="7"/>
        <v>6334.1298461538454</v>
      </c>
    </row>
    <row r="16" spans="1:20" x14ac:dyDescent="0.3">
      <c r="A16" s="16" t="s">
        <v>5</v>
      </c>
      <c r="B16">
        <v>30</v>
      </c>
      <c r="C16" s="4">
        <f t="shared" si="6"/>
        <v>466.74562499999996</v>
      </c>
      <c r="D16" s="4">
        <f t="shared" si="6"/>
        <v>492.1866</v>
      </c>
      <c r="E16" s="4">
        <f t="shared" si="6"/>
        <v>518.09152500000005</v>
      </c>
      <c r="F16" s="4">
        <f t="shared" si="6"/>
        <v>544.46040000000005</v>
      </c>
      <c r="G16" s="4">
        <f t="shared" si="6"/>
        <v>571.29322499999989</v>
      </c>
      <c r="H16" s="4">
        <f t="shared" si="6"/>
        <v>598.59</v>
      </c>
      <c r="I16" s="4">
        <f t="shared" si="6"/>
        <v>626.35072500000001</v>
      </c>
      <c r="J16" s="4">
        <f t="shared" si="6"/>
        <v>654.57539999999995</v>
      </c>
      <c r="K16" s="16" t="s">
        <v>5</v>
      </c>
      <c r="M16" s="4">
        <f t="shared" si="7"/>
        <v>5026.4913461538463</v>
      </c>
      <c r="N16" s="4">
        <f t="shared" si="7"/>
        <v>5300.4710769230769</v>
      </c>
      <c r="O16" s="4">
        <f t="shared" si="7"/>
        <v>5579.4471923076926</v>
      </c>
      <c r="P16" s="4">
        <f t="shared" si="7"/>
        <v>5863.4196923076934</v>
      </c>
      <c r="Q16" s="4">
        <f t="shared" si="7"/>
        <v>6152.3885769230756</v>
      </c>
      <c r="R16" s="4">
        <f t="shared" si="7"/>
        <v>6446.3538461538465</v>
      </c>
      <c r="S16" s="4">
        <f t="shared" si="7"/>
        <v>6745.3154999999997</v>
      </c>
      <c r="T16" s="4">
        <f t="shared" si="7"/>
        <v>7049.273538461538</v>
      </c>
    </row>
    <row r="17" spans="1:20" x14ac:dyDescent="0.3">
      <c r="A17" s="16" t="s">
        <v>6</v>
      </c>
      <c r="B17">
        <v>31</v>
      </c>
      <c r="C17" s="4">
        <f t="shared" si="6"/>
        <v>511.62031874999997</v>
      </c>
      <c r="D17" s="4">
        <f t="shared" si="6"/>
        <v>545.25881400000003</v>
      </c>
      <c r="E17" s="4">
        <f t="shared" si="6"/>
        <v>579.87211975000002</v>
      </c>
      <c r="F17" s="4">
        <f t="shared" si="6"/>
        <v>615.46023600000001</v>
      </c>
      <c r="G17" s="4">
        <f t="shared" si="6"/>
        <v>652.02316274999998</v>
      </c>
      <c r="H17" s="4">
        <f t="shared" si="6"/>
        <v>689.56089999999995</v>
      </c>
      <c r="I17" s="4">
        <f t="shared" si="6"/>
        <v>728.07344775000001</v>
      </c>
      <c r="J17" s="4">
        <f t="shared" si="6"/>
        <v>767.56080599999996</v>
      </c>
      <c r="K17" s="16" t="s">
        <v>6</v>
      </c>
      <c r="M17" s="4">
        <f t="shared" si="7"/>
        <v>5509.7572788461539</v>
      </c>
      <c r="N17" s="4">
        <f t="shared" si="7"/>
        <v>5872.0179969230776</v>
      </c>
      <c r="O17" s="4">
        <f t="shared" si="7"/>
        <v>6244.7766742307695</v>
      </c>
      <c r="P17" s="4">
        <f t="shared" si="7"/>
        <v>6628.0333107692313</v>
      </c>
      <c r="Q17" s="4">
        <f t="shared" si="7"/>
        <v>7021.7879065384614</v>
      </c>
      <c r="R17" s="4">
        <f t="shared" si="7"/>
        <v>7426.0404615384614</v>
      </c>
      <c r="S17" s="4">
        <f t="shared" si="7"/>
        <v>7840.7909757692305</v>
      </c>
      <c r="T17" s="4">
        <f t="shared" si="7"/>
        <v>8266.0394492307678</v>
      </c>
    </row>
    <row r="18" spans="1:20" x14ac:dyDescent="0.3">
      <c r="A18" s="16" t="s">
        <v>7</v>
      </c>
      <c r="B18">
        <v>31</v>
      </c>
      <c r="C18" s="4">
        <f t="shared" si="6"/>
        <v>540.936825</v>
      </c>
      <c r="D18" s="4">
        <f t="shared" si="6"/>
        <v>581.92480799999998</v>
      </c>
      <c r="E18" s="4">
        <f t="shared" si="6"/>
        <v>624.38299700000005</v>
      </c>
      <c r="F18" s="4">
        <f t="shared" si="6"/>
        <v>668.31139200000007</v>
      </c>
      <c r="G18" s="4">
        <f t="shared" si="6"/>
        <v>713.70999299999994</v>
      </c>
      <c r="H18" s="4">
        <f t="shared" si="6"/>
        <v>760.5788</v>
      </c>
      <c r="I18" s="4">
        <f t="shared" si="6"/>
        <v>808.91781300000002</v>
      </c>
      <c r="J18" s="4">
        <f t="shared" si="6"/>
        <v>858.72703199999989</v>
      </c>
      <c r="K18" s="16" t="s">
        <v>7</v>
      </c>
      <c r="M18" s="4">
        <f t="shared" si="7"/>
        <v>5825.4735000000001</v>
      </c>
      <c r="N18" s="4">
        <f t="shared" si="7"/>
        <v>6266.8825476923075</v>
      </c>
      <c r="O18" s="4">
        <f t="shared" si="7"/>
        <v>6724.124583076923</v>
      </c>
      <c r="P18" s="4">
        <f t="shared" si="7"/>
        <v>7197.1996061538475</v>
      </c>
      <c r="Q18" s="4">
        <f t="shared" si="7"/>
        <v>7686.1076169230764</v>
      </c>
      <c r="R18" s="4">
        <f t="shared" si="7"/>
        <v>8190.8486153846152</v>
      </c>
      <c r="S18" s="4">
        <f t="shared" si="7"/>
        <v>8711.4226015384611</v>
      </c>
      <c r="T18" s="4">
        <f t="shared" si="7"/>
        <v>9247.829575384616</v>
      </c>
    </row>
    <row r="19" spans="1:20" x14ac:dyDescent="0.3">
      <c r="A19" s="16" t="s">
        <v>8</v>
      </c>
      <c r="B19">
        <v>30</v>
      </c>
      <c r="C19" s="4">
        <f t="shared" si="6"/>
        <v>550.94287499999996</v>
      </c>
      <c r="D19" s="4">
        <f t="shared" si="6"/>
        <v>597.49163999999996</v>
      </c>
      <c r="E19" s="4">
        <f t="shared" si="6"/>
        <v>645.92713500000002</v>
      </c>
      <c r="F19" s="4">
        <f t="shared" si="6"/>
        <v>696.24936000000002</v>
      </c>
      <c r="G19" s="4">
        <f t="shared" si="6"/>
        <v>748.45831499999997</v>
      </c>
      <c r="H19" s="4">
        <f t="shared" si="6"/>
        <v>802.55399999999997</v>
      </c>
      <c r="I19" s="4">
        <f t="shared" si="6"/>
        <v>858.53641500000003</v>
      </c>
      <c r="J19" s="4">
        <f t="shared" si="6"/>
        <v>916.40555999999992</v>
      </c>
      <c r="K19" s="16" t="s">
        <v>8</v>
      </c>
      <c r="M19" s="4">
        <f t="shared" ref="M19:T19" si="8">$L$2*M9</f>
        <v>5933.2309615384611</v>
      </c>
      <c r="N19" s="4">
        <f t="shared" si="8"/>
        <v>6434.5253538461538</v>
      </c>
      <c r="O19" s="4">
        <f t="shared" si="8"/>
        <v>6956.138376923077</v>
      </c>
      <c r="P19" s="4">
        <f t="shared" si="8"/>
        <v>7498.0700307692314</v>
      </c>
      <c r="Q19" s="4">
        <f t="shared" si="8"/>
        <v>8060.3203153846152</v>
      </c>
      <c r="R19" s="4">
        <f t="shared" si="8"/>
        <v>8642.8892307692313</v>
      </c>
      <c r="S19" s="4">
        <f t="shared" si="8"/>
        <v>9245.7767769230777</v>
      </c>
      <c r="T19" s="4">
        <f t="shared" si="8"/>
        <v>9868.9829538461527</v>
      </c>
    </row>
    <row r="20" spans="1:20" x14ac:dyDescent="0.3">
      <c r="A20" s="16" t="s">
        <v>9</v>
      </c>
      <c r="B20">
        <v>31</v>
      </c>
      <c r="C20" s="4">
        <f t="shared" si="6"/>
        <v>598.62414375000003</v>
      </c>
      <c r="D20" s="4">
        <f t="shared" si="6"/>
        <v>654.07402200000001</v>
      </c>
      <c r="E20" s="4">
        <f t="shared" si="6"/>
        <v>711.96891675000006</v>
      </c>
      <c r="F20" s="4">
        <f t="shared" si="6"/>
        <v>772.30882800000006</v>
      </c>
      <c r="G20" s="4">
        <f t="shared" si="6"/>
        <v>835.0937557499999</v>
      </c>
      <c r="H20" s="4">
        <f t="shared" si="6"/>
        <v>900.32369999999992</v>
      </c>
      <c r="I20" s="4">
        <f t="shared" si="6"/>
        <v>967.99866075</v>
      </c>
      <c r="J20" s="4">
        <f t="shared" si="6"/>
        <v>1038.1186379999999</v>
      </c>
      <c r="K20" s="16" t="s">
        <v>9</v>
      </c>
      <c r="M20" s="4">
        <f t="shared" ref="M20:T20" si="9">$L$2*M10</f>
        <v>6446.7215480769228</v>
      </c>
      <c r="N20" s="4">
        <f t="shared" si="9"/>
        <v>7043.8740830769239</v>
      </c>
      <c r="O20" s="4">
        <f t="shared" si="9"/>
        <v>7667.3575650000002</v>
      </c>
      <c r="P20" s="4">
        <f t="shared" si="9"/>
        <v>8317.1719938461556</v>
      </c>
      <c r="Q20" s="4">
        <f t="shared" si="9"/>
        <v>8993.3173696153826</v>
      </c>
      <c r="R20" s="4">
        <f t="shared" si="9"/>
        <v>9695.7936923076923</v>
      </c>
      <c r="S20" s="4">
        <f t="shared" si="9"/>
        <v>10424.600961923077</v>
      </c>
      <c r="T20" s="4">
        <f t="shared" si="9"/>
        <v>11179.739178461537</v>
      </c>
    </row>
    <row r="22" spans="1:20" x14ac:dyDescent="0.3">
      <c r="A22" s="20" t="s">
        <v>28</v>
      </c>
      <c r="B22" s="20"/>
      <c r="C22" s="12">
        <f t="shared" ref="C22:J22" si="10">SUM(C15:C20)</f>
        <v>3122.8027874999998</v>
      </c>
      <c r="D22" s="12">
        <f t="shared" si="10"/>
        <v>3344.0454840000002</v>
      </c>
      <c r="E22" s="12">
        <f t="shared" si="10"/>
        <v>3572.5288935000003</v>
      </c>
      <c r="F22" s="12">
        <f t="shared" si="10"/>
        <v>3808.2530160000006</v>
      </c>
      <c r="G22" s="12">
        <f t="shared" si="10"/>
        <v>4051.2178514999996</v>
      </c>
      <c r="H22" s="12">
        <f t="shared" si="10"/>
        <v>4301.4233999999997</v>
      </c>
      <c r="I22" s="12">
        <f t="shared" si="10"/>
        <v>4558.8696614999999</v>
      </c>
      <c r="J22" s="12">
        <f t="shared" si="10"/>
        <v>4823.5566359999993</v>
      </c>
      <c r="K22" s="20" t="s">
        <v>40</v>
      </c>
      <c r="L22" s="20"/>
      <c r="M22" s="17">
        <f t="shared" ref="M22:T22" si="11">SUM(M15:M20)</f>
        <v>33630.183865384621</v>
      </c>
      <c r="N22" s="17">
        <f t="shared" si="11"/>
        <v>36012.797520000007</v>
      </c>
      <c r="O22" s="17">
        <f t="shared" si="11"/>
        <v>38473.388083846155</v>
      </c>
      <c r="P22" s="17">
        <f t="shared" si="11"/>
        <v>41011.955556923087</v>
      </c>
      <c r="Q22" s="17">
        <f t="shared" si="11"/>
        <v>43628.499939230765</v>
      </c>
      <c r="R22" s="17">
        <f t="shared" si="11"/>
        <v>46323.021230769227</v>
      </c>
      <c r="S22" s="17">
        <f t="shared" si="11"/>
        <v>49095.519431538465</v>
      </c>
      <c r="T22" s="17">
        <f t="shared" si="11"/>
        <v>51945.994541538465</v>
      </c>
    </row>
    <row r="23" spans="1:20" x14ac:dyDescent="0.3">
      <c r="A23" s="24"/>
      <c r="B23" s="24"/>
    </row>
  </sheetData>
  <mergeCells count="12">
    <mergeCell ref="A23:B23"/>
    <mergeCell ref="A1:T1"/>
    <mergeCell ref="A2:B2"/>
    <mergeCell ref="A3:B3"/>
    <mergeCell ref="M14:T14"/>
    <mergeCell ref="K22:L22"/>
    <mergeCell ref="A12:B12"/>
    <mergeCell ref="C4:J4"/>
    <mergeCell ref="C14:J14"/>
    <mergeCell ref="A22:B22"/>
    <mergeCell ref="K12:L12"/>
    <mergeCell ref="M4:T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Cow-calf forage consumption</vt:lpstr>
      <vt:lpstr>Stocker forage consumption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Jim Gerrish</cp:lastModifiedBy>
  <dcterms:created xsi:type="dcterms:W3CDTF">2021-06-24T18:15:25Z</dcterms:created>
  <dcterms:modified xsi:type="dcterms:W3CDTF">2025-09-12T01:39:35Z</dcterms:modified>
</cp:coreProperties>
</file>