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66925"/>
  <mc:AlternateContent xmlns:mc="http://schemas.openxmlformats.org/markup-compatibility/2006">
    <mc:Choice Requires="x15">
      <x15ac:absPath xmlns:x15ac="http://schemas.microsoft.com/office/spreadsheetml/2010/11/ac" url="C:\Users\Owner\Documents\AGLS\Spreadsheets\"/>
    </mc:Choice>
  </mc:AlternateContent>
  <xr:revisionPtr revIDLastSave="0" documentId="13_ncr:1_{0A7556E1-2568-422B-AA10-DF77B3D19360}" xr6:coauthVersionLast="47" xr6:coauthVersionMax="47" xr10:uidLastSave="{00000000-0000-0000-0000-000000000000}"/>
  <bookViews>
    <workbookView xWindow="-108" yWindow="-108" windowWidth="23256" windowHeight="12456" xr2:uid="{4CE5E9A5-221F-4F39-AD78-E8DFEA8CBB80}"/>
  </bookViews>
  <sheets>
    <sheet name="Cost comparison" sheetId="13" r:id="rId1"/>
    <sheet name="Price List" sheetId="19" r:id="rId2"/>
    <sheet name="1-strand" sheetId="1" r:id="rId3"/>
    <sheet name="2-strand" sheetId="2" r:id="rId4"/>
    <sheet name="3-strand" sheetId="6" r:id="rId5"/>
    <sheet name="4-strand" sheetId="7" r:id="rId6"/>
    <sheet name="5-strand" sheetId="8" r:id="rId7"/>
    <sheet name="8 strand" sheetId="9" r:id="rId8"/>
    <sheet name="Barb RB 3-strand" sheetId="10" r:id="rId9"/>
    <sheet name="Barb RB 4-strand" sheetId="11" r:id="rId10"/>
    <sheet name="Barb RB 5-strand" sheetId="12" r:id="rId11"/>
    <sheet name="Barb GC 3-strand" sheetId="14" r:id="rId12"/>
    <sheet name="Barb GC 4-strand" sheetId="15" r:id="rId13"/>
    <sheet name="Barb GC 5-strand" sheetId="16" r:id="rId14"/>
    <sheet name="Woven Red Brand" sheetId="17" r:id="rId15"/>
    <sheet name="Woven HT" sheetId="18" r:id="rId1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0" i="18" l="1"/>
  <c r="E39" i="18"/>
  <c r="E38" i="18"/>
  <c r="E37" i="18"/>
  <c r="E35" i="18"/>
  <c r="E33" i="18"/>
  <c r="E32" i="18"/>
  <c r="E31" i="18"/>
  <c r="E30" i="18"/>
  <c r="E29" i="18"/>
  <c r="E28" i="18"/>
  <c r="E27" i="18"/>
  <c r="E33" i="17"/>
  <c r="E32" i="17"/>
  <c r="D31" i="17"/>
  <c r="D30" i="17"/>
  <c r="E29" i="17"/>
  <c r="E28" i="17"/>
  <c r="E27" i="17"/>
  <c r="E26" i="16"/>
  <c r="D26" i="16"/>
  <c r="E25" i="16"/>
  <c r="E24" i="16"/>
  <c r="D24" i="16"/>
  <c r="E23" i="16"/>
  <c r="E22" i="16"/>
  <c r="E21" i="16"/>
  <c r="E20" i="16"/>
  <c r="E19" i="16"/>
  <c r="E26" i="15"/>
  <c r="D26" i="15"/>
  <c r="E25" i="15"/>
  <c r="E24" i="15"/>
  <c r="D24" i="15"/>
  <c r="E23" i="15"/>
  <c r="E22" i="15"/>
  <c r="E21" i="15"/>
  <c r="E20" i="15"/>
  <c r="E19" i="15"/>
  <c r="E26" i="14"/>
  <c r="D26" i="14"/>
  <c r="E25" i="14"/>
  <c r="E24" i="14"/>
  <c r="D24" i="14"/>
  <c r="E23" i="14"/>
  <c r="E22" i="14"/>
  <c r="E21" i="14"/>
  <c r="E20" i="14"/>
  <c r="E19" i="14"/>
  <c r="E26" i="12"/>
  <c r="D26" i="12"/>
  <c r="E25" i="12"/>
  <c r="E24" i="12"/>
  <c r="D24" i="12"/>
  <c r="E23" i="12"/>
  <c r="E22" i="12"/>
  <c r="E21" i="12"/>
  <c r="E20" i="12"/>
  <c r="E19" i="12"/>
  <c r="E26" i="11"/>
  <c r="D26" i="11"/>
  <c r="E25" i="11"/>
  <c r="E24" i="11"/>
  <c r="D24" i="11"/>
  <c r="E23" i="11"/>
  <c r="E22" i="11"/>
  <c r="E21" i="11"/>
  <c r="E20" i="11"/>
  <c r="E19" i="11"/>
  <c r="E26" i="10"/>
  <c r="E25" i="10"/>
  <c r="E24" i="10"/>
  <c r="E23" i="10"/>
  <c r="E22" i="10"/>
  <c r="E21" i="10"/>
  <c r="E20" i="10"/>
  <c r="E19" i="10"/>
  <c r="E49" i="9"/>
  <c r="E46" i="9"/>
  <c r="D30" i="19"/>
  <c r="D26" i="19"/>
  <c r="E43" i="9"/>
  <c r="D43" i="9"/>
  <c r="E42" i="9"/>
  <c r="D42" i="9"/>
  <c r="E41" i="9"/>
  <c r="E40" i="9"/>
  <c r="E39" i="9"/>
  <c r="D37" i="9"/>
  <c r="E37" i="9" s="1"/>
  <c r="E35" i="9"/>
  <c r="E43" i="8"/>
  <c r="D43" i="8"/>
  <c r="E42" i="8"/>
  <c r="D42" i="8"/>
  <c r="E41" i="8"/>
  <c r="E40" i="8"/>
  <c r="E39" i="8"/>
  <c r="E37" i="8"/>
  <c r="D37" i="8"/>
  <c r="E35" i="8"/>
  <c r="E43" i="7"/>
  <c r="D43" i="7"/>
  <c r="E42" i="7"/>
  <c r="D42" i="7"/>
  <c r="E41" i="7"/>
  <c r="E40" i="7"/>
  <c r="E39" i="7"/>
  <c r="D37" i="7"/>
  <c r="E37" i="7" s="1"/>
  <c r="E35" i="7"/>
  <c r="E49" i="6"/>
  <c r="B49" i="6"/>
  <c r="D29" i="19"/>
  <c r="D28" i="19"/>
  <c r="D25" i="19"/>
  <c r="D24" i="19"/>
  <c r="E46" i="6" s="1"/>
  <c r="E43" i="6"/>
  <c r="D43" i="6"/>
  <c r="E42" i="6"/>
  <c r="D42" i="6"/>
  <c r="E41" i="6"/>
  <c r="E40" i="6"/>
  <c r="E39" i="6"/>
  <c r="D37" i="6"/>
  <c r="E37" i="6" s="1"/>
  <c r="E35" i="6"/>
  <c r="E46" i="2"/>
  <c r="E43" i="2"/>
  <c r="D43" i="2"/>
  <c r="E42" i="2"/>
  <c r="D42" i="2"/>
  <c r="E41" i="2"/>
  <c r="E40" i="2"/>
  <c r="E39" i="2"/>
  <c r="D37" i="2"/>
  <c r="E37" i="2" s="1"/>
  <c r="E35" i="2"/>
  <c r="E46" i="1"/>
  <c r="E43" i="1"/>
  <c r="E42" i="1"/>
  <c r="E41" i="1"/>
  <c r="E40" i="1"/>
  <c r="E39" i="1"/>
  <c r="D37" i="1"/>
  <c r="D31" i="19"/>
  <c r="E48" i="9" s="1"/>
  <c r="D27" i="19"/>
  <c r="E47" i="9" s="1"/>
  <c r="E49" i="8" l="1"/>
  <c r="E47" i="7"/>
  <c r="E49" i="7"/>
  <c r="E48" i="7"/>
  <c r="E46" i="7"/>
  <c r="E46" i="8"/>
  <c r="E48" i="1"/>
  <c r="E47" i="8"/>
  <c r="E48" i="8"/>
  <c r="E47" i="2"/>
  <c r="E49" i="1"/>
  <c r="E48" i="2"/>
  <c r="E49" i="2"/>
  <c r="E47" i="6"/>
  <c r="E48" i="6"/>
  <c r="E47" i="1"/>
  <c r="D21" i="19"/>
  <c r="D22" i="19" l="1"/>
  <c r="D15" i="19"/>
  <c r="D17" i="19"/>
  <c r="D8" i="19"/>
  <c r="D10" i="19"/>
  <c r="D9" i="19"/>
  <c r="D11" i="19"/>
  <c r="D13" i="19"/>
  <c r="E38" i="8" l="1"/>
  <c r="E38" i="7"/>
  <c r="E38" i="9"/>
  <c r="E32" i="9"/>
  <c r="E32" i="8"/>
  <c r="E32" i="7"/>
  <c r="E45" i="9"/>
  <c r="E45" i="8"/>
  <c r="E45" i="7"/>
  <c r="E32" i="6"/>
  <c r="E32" i="1"/>
  <c r="E32" i="2"/>
  <c r="E38" i="6"/>
  <c r="E38" i="2"/>
  <c r="E38" i="1"/>
  <c r="G37" i="18" s="1"/>
  <c r="E45" i="1"/>
  <c r="E45" i="2"/>
  <c r="E45" i="6"/>
  <c r="D16" i="19"/>
  <c r="D6" i="19"/>
  <c r="D5" i="19"/>
  <c r="D4" i="19"/>
  <c r="D3" i="19"/>
  <c r="D2" i="19"/>
  <c r="D7" i="19"/>
  <c r="D12" i="19"/>
  <c r="C40" i="9"/>
  <c r="C40" i="8"/>
  <c r="C40" i="7"/>
  <c r="C40" i="6"/>
  <c r="C40" i="2"/>
  <c r="C40" i="1"/>
  <c r="G40" i="18"/>
  <c r="G38" i="18"/>
  <c r="E40" i="17"/>
  <c r="E39" i="17"/>
  <c r="E38" i="17"/>
  <c r="G41" i="18"/>
  <c r="C39" i="18"/>
  <c r="C38" i="18"/>
  <c r="C37" i="18"/>
  <c r="C35" i="18"/>
  <c r="C36" i="18" s="1"/>
  <c r="G36" i="18" s="1"/>
  <c r="G34" i="18"/>
  <c r="C33" i="18"/>
  <c r="G33" i="18" s="1"/>
  <c r="B33" i="18"/>
  <c r="C32" i="18"/>
  <c r="G32" i="18" s="1"/>
  <c r="G31" i="18"/>
  <c r="C31" i="18"/>
  <c r="G30" i="18"/>
  <c r="C30" i="18"/>
  <c r="C29" i="18"/>
  <c r="C28" i="18"/>
  <c r="G28" i="18" s="1"/>
  <c r="G27" i="18"/>
  <c r="C27" i="18"/>
  <c r="C29" i="17"/>
  <c r="C28" i="17"/>
  <c r="C27" i="17"/>
  <c r="E37" i="17" l="1"/>
  <c r="E29" i="9"/>
  <c r="E29" i="8"/>
  <c r="E29" i="7"/>
  <c r="E31" i="9"/>
  <c r="E31" i="8"/>
  <c r="E31" i="7"/>
  <c r="E30" i="9"/>
  <c r="E44" i="9"/>
  <c r="E30" i="8"/>
  <c r="E44" i="7"/>
  <c r="E44" i="8"/>
  <c r="E30" i="7"/>
  <c r="E44" i="1"/>
  <c r="E30" i="1"/>
  <c r="E44" i="2"/>
  <c r="E30" i="6"/>
  <c r="E44" i="6"/>
  <c r="E30" i="2"/>
  <c r="E31" i="2"/>
  <c r="E31" i="6"/>
  <c r="E31" i="1"/>
  <c r="E29" i="2"/>
  <c r="E29" i="1"/>
  <c r="E29" i="6"/>
  <c r="G39" i="18"/>
  <c r="G35" i="18"/>
  <c r="G44" i="18"/>
  <c r="G41" i="17"/>
  <c r="G40" i="17"/>
  <c r="C38" i="17"/>
  <c r="C37" i="17"/>
  <c r="C35" i="17" s="1"/>
  <c r="C36" i="17" s="1"/>
  <c r="G36" i="17" s="1"/>
  <c r="E35" i="17"/>
  <c r="G34" i="17"/>
  <c r="C33" i="17"/>
  <c r="G33" i="17" s="1"/>
  <c r="B33" i="17"/>
  <c r="E31" i="17"/>
  <c r="C31" i="17"/>
  <c r="E30" i="17"/>
  <c r="C30" i="17"/>
  <c r="G28" i="17"/>
  <c r="G27" i="17"/>
  <c r="G47" i="18" l="1"/>
  <c r="G45" i="18"/>
  <c r="C32" i="17"/>
  <c r="G32" i="17" s="1"/>
  <c r="G37" i="17"/>
  <c r="C39" i="17"/>
  <c r="G39" i="17" s="1"/>
  <c r="G38" i="17"/>
  <c r="G31" i="17"/>
  <c r="G35" i="17"/>
  <c r="G30" i="17"/>
  <c r="G46" i="18" l="1"/>
  <c r="B19" i="13"/>
  <c r="G44" i="17"/>
  <c r="G47" i="17" s="1"/>
  <c r="D19" i="13" l="1"/>
  <c r="C19" i="13"/>
  <c r="G45" i="17"/>
  <c r="G46" i="17" l="1"/>
  <c r="B18" i="13"/>
  <c r="C26" i="16"/>
  <c r="G26" i="16" s="1"/>
  <c r="C25" i="16"/>
  <c r="G25" i="16" s="1"/>
  <c r="C23" i="16"/>
  <c r="C24" i="16" s="1"/>
  <c r="G24" i="16" s="1"/>
  <c r="C20" i="16"/>
  <c r="C21" i="16" s="1"/>
  <c r="C19" i="16"/>
  <c r="G19" i="16" s="1"/>
  <c r="C26" i="15"/>
  <c r="G26" i="15" s="1"/>
  <c r="C25" i="15"/>
  <c r="G25" i="15" s="1"/>
  <c r="C23" i="15"/>
  <c r="C24" i="15" s="1"/>
  <c r="G24" i="15" s="1"/>
  <c r="C20" i="15"/>
  <c r="C21" i="15" s="1"/>
  <c r="C19" i="15"/>
  <c r="G19" i="15" s="1"/>
  <c r="C26" i="14"/>
  <c r="G26" i="14" s="1"/>
  <c r="C25" i="14"/>
  <c r="G25" i="14" s="1"/>
  <c r="C23" i="14"/>
  <c r="C24" i="14" s="1"/>
  <c r="G24" i="14" s="1"/>
  <c r="C20" i="14"/>
  <c r="C21" i="14" s="1"/>
  <c r="C19" i="14"/>
  <c r="G19" i="14" s="1"/>
  <c r="C26" i="12"/>
  <c r="G26" i="12" s="1"/>
  <c r="C25" i="12"/>
  <c r="G25" i="12" s="1"/>
  <c r="C23" i="12"/>
  <c r="C24" i="12" s="1"/>
  <c r="G24" i="12" s="1"/>
  <c r="C20" i="12"/>
  <c r="C21" i="12" s="1"/>
  <c r="G19" i="12"/>
  <c r="C19" i="12"/>
  <c r="C26" i="11"/>
  <c r="G26" i="11" s="1"/>
  <c r="G25" i="11"/>
  <c r="C25" i="11"/>
  <c r="C23" i="11"/>
  <c r="C24" i="11" s="1"/>
  <c r="G24" i="11" s="1"/>
  <c r="C20" i="11"/>
  <c r="C21" i="11" s="1"/>
  <c r="C19" i="11"/>
  <c r="G19" i="11" s="1"/>
  <c r="C26" i="10"/>
  <c r="D26" i="10" s="1"/>
  <c r="G26" i="10" s="1"/>
  <c r="C25" i="10"/>
  <c r="G25" i="10" s="1"/>
  <c r="C23" i="10"/>
  <c r="C24" i="10" s="1"/>
  <c r="D24" i="10" s="1"/>
  <c r="G24" i="10" s="1"/>
  <c r="C20" i="10"/>
  <c r="G20" i="10" s="1"/>
  <c r="G19" i="10"/>
  <c r="C19" i="10"/>
  <c r="D18" i="13" l="1"/>
  <c r="C18" i="13"/>
  <c r="C22" i="16"/>
  <c r="G22" i="16" s="1"/>
  <c r="G21" i="16"/>
  <c r="G23" i="16"/>
  <c r="G20" i="16"/>
  <c r="C22" i="15"/>
  <c r="G22" i="15" s="1"/>
  <c r="G21" i="15"/>
  <c r="G23" i="15"/>
  <c r="G20" i="15"/>
  <c r="G27" i="15" s="1"/>
  <c r="G23" i="14"/>
  <c r="C22" i="14"/>
  <c r="G22" i="14" s="1"/>
  <c r="G21" i="14"/>
  <c r="G20" i="14"/>
  <c r="G27" i="14" s="1"/>
  <c r="G21" i="12"/>
  <c r="C22" i="12"/>
  <c r="G22" i="12" s="1"/>
  <c r="G20" i="12"/>
  <c r="G23" i="12"/>
  <c r="C22" i="11"/>
  <c r="G22" i="11" s="1"/>
  <c r="G21" i="11"/>
  <c r="G23" i="11"/>
  <c r="G20" i="11"/>
  <c r="G27" i="11" s="1"/>
  <c r="C21" i="10"/>
  <c r="G23" i="10"/>
  <c r="G27" i="16" l="1"/>
  <c r="G28" i="16" s="1"/>
  <c r="G30" i="16"/>
  <c r="G34" i="16" s="1"/>
  <c r="G28" i="15"/>
  <c r="G30" i="15"/>
  <c r="G34" i="15" s="1"/>
  <c r="G30" i="14"/>
  <c r="G34" i="14" s="1"/>
  <c r="G28" i="14"/>
  <c r="G27" i="12"/>
  <c r="G30" i="12" s="1"/>
  <c r="G34" i="12" s="1"/>
  <c r="G30" i="11"/>
  <c r="G34" i="11" s="1"/>
  <c r="G28" i="11"/>
  <c r="C22" i="10"/>
  <c r="G22" i="10" s="1"/>
  <c r="G21" i="10"/>
  <c r="G29" i="11" l="1"/>
  <c r="B11" i="13"/>
  <c r="G27" i="10"/>
  <c r="G30" i="10" s="1"/>
  <c r="G34" i="10" s="1"/>
  <c r="G29" i="16"/>
  <c r="B16" i="13"/>
  <c r="G29" i="15"/>
  <c r="B15" i="13"/>
  <c r="G29" i="14"/>
  <c r="B14" i="13"/>
  <c r="G28" i="12"/>
  <c r="G29" i="12" l="1"/>
  <c r="B12" i="13"/>
  <c r="D11" i="13"/>
  <c r="C11" i="13"/>
  <c r="G28" i="10"/>
  <c r="G29" i="10"/>
  <c r="B10" i="13"/>
  <c r="D16" i="13"/>
  <c r="C16" i="13"/>
  <c r="D15" i="13"/>
  <c r="C15" i="13"/>
  <c r="C14" i="13"/>
  <c r="D14" i="13"/>
  <c r="G64" i="9"/>
  <c r="G63" i="9"/>
  <c r="G62" i="9"/>
  <c r="G61" i="9"/>
  <c r="G60" i="9"/>
  <c r="G59" i="9"/>
  <c r="G58" i="9"/>
  <c r="G57" i="9"/>
  <c r="G66" i="9" s="1"/>
  <c r="G64" i="8"/>
  <c r="G63" i="8"/>
  <c r="G62" i="8"/>
  <c r="G61" i="8"/>
  <c r="G60" i="8"/>
  <c r="G59" i="8"/>
  <c r="G58" i="8"/>
  <c r="G57" i="8"/>
  <c r="G66" i="8" s="1"/>
  <c r="G64" i="7"/>
  <c r="G63" i="7"/>
  <c r="G62" i="7"/>
  <c r="G61" i="7"/>
  <c r="G60" i="7"/>
  <c r="G59" i="7"/>
  <c r="G58" i="7"/>
  <c r="G57" i="7"/>
  <c r="G66" i="7" s="1"/>
  <c r="G64" i="6"/>
  <c r="G63" i="6"/>
  <c r="G66" i="6" s="1"/>
  <c r="G62" i="6"/>
  <c r="G61" i="6"/>
  <c r="G60" i="6"/>
  <c r="G59" i="6"/>
  <c r="G58" i="6"/>
  <c r="G57" i="6"/>
  <c r="G64" i="2"/>
  <c r="G63" i="2"/>
  <c r="G62" i="2"/>
  <c r="G61" i="2"/>
  <c r="G60" i="2"/>
  <c r="G59" i="2"/>
  <c r="G58" i="2"/>
  <c r="G57" i="2"/>
  <c r="G66" i="2" s="1"/>
  <c r="G67" i="1"/>
  <c r="C49" i="9"/>
  <c r="G49" i="9" s="1"/>
  <c r="B49" i="9"/>
  <c r="C47" i="9"/>
  <c r="C48" i="9" s="1"/>
  <c r="G48" i="9" s="1"/>
  <c r="B47" i="9"/>
  <c r="C46" i="9"/>
  <c r="G46" i="9" s="1"/>
  <c r="B46" i="9"/>
  <c r="C44" i="9"/>
  <c r="G41" i="9"/>
  <c r="C41" i="9"/>
  <c r="C38" i="9"/>
  <c r="G36" i="9"/>
  <c r="C35" i="9"/>
  <c r="C34" i="9"/>
  <c r="G34" i="9" s="1"/>
  <c r="G33" i="9"/>
  <c r="C33" i="9"/>
  <c r="C32" i="9"/>
  <c r="G32" i="9" s="1"/>
  <c r="C30" i="9"/>
  <c r="C31" i="9" s="1"/>
  <c r="G29" i="9"/>
  <c r="C29" i="9"/>
  <c r="C49" i="8"/>
  <c r="G49" i="8" s="1"/>
  <c r="B49" i="8"/>
  <c r="C47" i="8"/>
  <c r="C48" i="8" s="1"/>
  <c r="G48" i="8" s="1"/>
  <c r="B47" i="8"/>
  <c r="C46" i="8"/>
  <c r="G46" i="8" s="1"/>
  <c r="B46" i="8"/>
  <c r="C41" i="8"/>
  <c r="C38" i="8"/>
  <c r="G38" i="8" s="1"/>
  <c r="G36" i="8"/>
  <c r="C35" i="8"/>
  <c r="C33" i="8"/>
  <c r="C34" i="8" s="1"/>
  <c r="G34" i="8" s="1"/>
  <c r="C32" i="8"/>
  <c r="G32" i="8" s="1"/>
  <c r="C30" i="8"/>
  <c r="C31" i="8" s="1"/>
  <c r="G29" i="8"/>
  <c r="C29" i="8"/>
  <c r="C44" i="8" s="1"/>
  <c r="C49" i="7"/>
  <c r="G49" i="7" s="1"/>
  <c r="B49" i="7"/>
  <c r="B47" i="7"/>
  <c r="C46" i="7"/>
  <c r="G46" i="7" s="1"/>
  <c r="B46" i="7"/>
  <c r="G44" i="7"/>
  <c r="G41" i="7"/>
  <c r="C41" i="7"/>
  <c r="G38" i="7"/>
  <c r="C38" i="7"/>
  <c r="G36" i="7"/>
  <c r="C35" i="7"/>
  <c r="C33" i="7"/>
  <c r="G33" i="7" s="1"/>
  <c r="C32" i="7"/>
  <c r="G32" i="7" s="1"/>
  <c r="C30" i="7"/>
  <c r="C31" i="7" s="1"/>
  <c r="G29" i="7"/>
  <c r="C29" i="7"/>
  <c r="C44" i="7" s="1"/>
  <c r="C49" i="6"/>
  <c r="G49" i="6" s="1"/>
  <c r="B47" i="6"/>
  <c r="C46" i="6"/>
  <c r="G46" i="6" s="1"/>
  <c r="B46" i="6"/>
  <c r="C44" i="6"/>
  <c r="G41" i="6"/>
  <c r="C41" i="6"/>
  <c r="C38" i="6"/>
  <c r="G36" i="6"/>
  <c r="C35" i="6"/>
  <c r="C34" i="6"/>
  <c r="G34" i="6" s="1"/>
  <c r="G33" i="6"/>
  <c r="C33" i="6"/>
  <c r="C32" i="6"/>
  <c r="G32" i="6" s="1"/>
  <c r="C30" i="6"/>
  <c r="G30" i="6" s="1"/>
  <c r="G29" i="6"/>
  <c r="C29" i="6"/>
  <c r="B49" i="2"/>
  <c r="B47" i="2"/>
  <c r="B46" i="2"/>
  <c r="G41" i="2"/>
  <c r="C41" i="2"/>
  <c r="G40" i="2"/>
  <c r="C38" i="2"/>
  <c r="G38" i="2" s="1"/>
  <c r="C37" i="2"/>
  <c r="G36" i="2"/>
  <c r="C35" i="2"/>
  <c r="C33" i="2"/>
  <c r="G33" i="2" s="1"/>
  <c r="C32" i="2"/>
  <c r="G32" i="2" s="1"/>
  <c r="G31" i="2"/>
  <c r="C31" i="2"/>
  <c r="C30" i="2"/>
  <c r="G30" i="2" s="1"/>
  <c r="C29" i="2"/>
  <c r="C43" i="2" s="1"/>
  <c r="G43" i="2" s="1"/>
  <c r="B49" i="1"/>
  <c r="B47" i="1"/>
  <c r="B46" i="1"/>
  <c r="E35" i="1"/>
  <c r="D12" i="13" l="1"/>
  <c r="C12" i="13"/>
  <c r="D10" i="13"/>
  <c r="C10" i="13"/>
  <c r="G41" i="8"/>
  <c r="C43" i="9"/>
  <c r="G43" i="9" s="1"/>
  <c r="G44" i="9"/>
  <c r="G38" i="9"/>
  <c r="G35" i="9"/>
  <c r="G35" i="8"/>
  <c r="C45" i="7"/>
  <c r="C42" i="7" s="1"/>
  <c r="G42" i="7" s="1"/>
  <c r="G35" i="7"/>
  <c r="G44" i="6"/>
  <c r="G38" i="6"/>
  <c r="G35" i="6"/>
  <c r="G37" i="2"/>
  <c r="C39" i="2"/>
  <c r="G39" i="2" s="1"/>
  <c r="G35" i="2"/>
  <c r="G69" i="9"/>
  <c r="G67" i="9"/>
  <c r="G68" i="9" s="1"/>
  <c r="G69" i="8"/>
  <c r="G67" i="8"/>
  <c r="G68" i="8" s="1"/>
  <c r="G69" i="7"/>
  <c r="G67" i="7"/>
  <c r="G68" i="7" s="1"/>
  <c r="G69" i="6"/>
  <c r="G67" i="6"/>
  <c r="G68" i="6" s="1"/>
  <c r="G69" i="2"/>
  <c r="G67" i="2"/>
  <c r="G68" i="2" s="1"/>
  <c r="G31" i="9"/>
  <c r="C37" i="9"/>
  <c r="G37" i="9" s="1"/>
  <c r="G30" i="9"/>
  <c r="C45" i="9"/>
  <c r="C42" i="9" s="1"/>
  <c r="G42" i="9" s="1"/>
  <c r="G47" i="9"/>
  <c r="G44" i="8"/>
  <c r="C45" i="8"/>
  <c r="C42" i="8" s="1"/>
  <c r="G42" i="8" s="1"/>
  <c r="C37" i="8"/>
  <c r="G37" i="8" s="1"/>
  <c r="G31" i="8"/>
  <c r="G33" i="8"/>
  <c r="G47" i="8"/>
  <c r="C43" i="8"/>
  <c r="G43" i="8" s="1"/>
  <c r="G30" i="8"/>
  <c r="G31" i="7"/>
  <c r="C37" i="7"/>
  <c r="G37" i="7" s="1"/>
  <c r="C47" i="7"/>
  <c r="C34" i="7"/>
  <c r="G34" i="7" s="1"/>
  <c r="C43" i="7"/>
  <c r="G43" i="7" s="1"/>
  <c r="G30" i="7"/>
  <c r="C31" i="6"/>
  <c r="C43" i="6" s="1"/>
  <c r="G43" i="6" s="1"/>
  <c r="C45" i="6"/>
  <c r="C42" i="6" s="1"/>
  <c r="G42" i="6" s="1"/>
  <c r="C47" i="6"/>
  <c r="C34" i="2"/>
  <c r="G34" i="2" s="1"/>
  <c r="C46" i="2"/>
  <c r="G46" i="2" s="1"/>
  <c r="C47" i="2"/>
  <c r="C49" i="2"/>
  <c r="G49" i="2" s="1"/>
  <c r="C44" i="2"/>
  <c r="G29" i="2"/>
  <c r="G60" i="1"/>
  <c r="G62" i="1"/>
  <c r="G64" i="1"/>
  <c r="G63" i="1"/>
  <c r="G59" i="1"/>
  <c r="G58" i="1"/>
  <c r="G57" i="1"/>
  <c r="C29" i="1"/>
  <c r="C49" i="1" s="1"/>
  <c r="G49" i="1" s="1"/>
  <c r="C41" i="1"/>
  <c r="C38" i="1"/>
  <c r="E37" i="1"/>
  <c r="G36" i="1"/>
  <c r="C35" i="1"/>
  <c r="C33" i="1"/>
  <c r="C34" i="1" s="1"/>
  <c r="G34" i="1" s="1"/>
  <c r="C32" i="1"/>
  <c r="G32" i="1" s="1"/>
  <c r="C30" i="1"/>
  <c r="C31" i="1" s="1"/>
  <c r="G45" i="9" l="1"/>
  <c r="G45" i="7"/>
  <c r="G40" i="9"/>
  <c r="C39" i="9"/>
  <c r="G39" i="9" s="1"/>
  <c r="C39" i="8"/>
  <c r="G39" i="8" s="1"/>
  <c r="G40" i="8"/>
  <c r="G45" i="8"/>
  <c r="C48" i="7"/>
  <c r="G48" i="7" s="1"/>
  <c r="G47" i="7"/>
  <c r="G40" i="7"/>
  <c r="C39" i="7"/>
  <c r="G39" i="7" s="1"/>
  <c r="C48" i="6"/>
  <c r="G48" i="6" s="1"/>
  <c r="G47" i="6"/>
  <c r="G31" i="6"/>
  <c r="C37" i="6"/>
  <c r="G37" i="6" s="1"/>
  <c r="G45" i="6"/>
  <c r="G44" i="2"/>
  <c r="C45" i="2"/>
  <c r="C48" i="2"/>
  <c r="G48" i="2" s="1"/>
  <c r="G47" i="2"/>
  <c r="G41" i="1"/>
  <c r="G61" i="1"/>
  <c r="G66" i="1" s="1"/>
  <c r="G29" i="1"/>
  <c r="G38" i="1"/>
  <c r="C46" i="1"/>
  <c r="G46" i="1" s="1"/>
  <c r="C44" i="1"/>
  <c r="G44" i="1" s="1"/>
  <c r="C47" i="1"/>
  <c r="C48" i="1" s="1"/>
  <c r="G48" i="1" s="1"/>
  <c r="G35" i="1"/>
  <c r="G31" i="1"/>
  <c r="C43" i="1"/>
  <c r="D43" i="1" s="1"/>
  <c r="G43" i="1" s="1"/>
  <c r="C37" i="1"/>
  <c r="G37" i="1" s="1"/>
  <c r="G33" i="1"/>
  <c r="G30" i="1"/>
  <c r="G51" i="9" l="1"/>
  <c r="G52" i="9" s="1"/>
  <c r="G51" i="8"/>
  <c r="G54" i="8" s="1"/>
  <c r="G51" i="7"/>
  <c r="G54" i="7" s="1"/>
  <c r="G40" i="6"/>
  <c r="C39" i="6"/>
  <c r="G39" i="6" s="1"/>
  <c r="G51" i="6" s="1"/>
  <c r="C42" i="2"/>
  <c r="G42" i="2" s="1"/>
  <c r="G45" i="2"/>
  <c r="G68" i="1"/>
  <c r="G69" i="1"/>
  <c r="G47" i="1"/>
  <c r="C45" i="1"/>
  <c r="G45" i="1" s="1"/>
  <c r="C39" i="1"/>
  <c r="G39" i="1" s="1"/>
  <c r="G40" i="1"/>
  <c r="G53" i="9" l="1"/>
  <c r="B8" i="13"/>
  <c r="G54" i="9"/>
  <c r="G52" i="8"/>
  <c r="G52" i="7"/>
  <c r="G51" i="2"/>
  <c r="G54" i="2" s="1"/>
  <c r="G52" i="6"/>
  <c r="G54" i="6"/>
  <c r="C42" i="1"/>
  <c r="D42" i="1" s="1"/>
  <c r="G42" i="1" s="1"/>
  <c r="G51" i="1" s="1"/>
  <c r="G52" i="1" s="1"/>
  <c r="G53" i="1" l="1"/>
  <c r="B3" i="13"/>
  <c r="G53" i="6"/>
  <c r="B5" i="13"/>
  <c r="G53" i="8"/>
  <c r="B7" i="13"/>
  <c r="G53" i="7"/>
  <c r="B6" i="13"/>
  <c r="D8" i="13"/>
  <c r="C8" i="13"/>
  <c r="G52" i="2"/>
  <c r="G54" i="1"/>
  <c r="C7" i="13" l="1"/>
  <c r="D7" i="13"/>
  <c r="D3" i="13"/>
  <c r="C3" i="13"/>
  <c r="G53" i="2"/>
  <c r="B4" i="13"/>
  <c r="C6" i="13"/>
  <c r="D6" i="13"/>
  <c r="C5" i="13"/>
  <c r="D5" i="13"/>
  <c r="C4" i="13" l="1"/>
  <c r="D4" i="13"/>
</calcChain>
</file>

<file path=xl/sharedStrings.xml><?xml version="1.0" encoding="utf-8"?>
<sst xmlns="http://schemas.openxmlformats.org/spreadsheetml/2006/main" count="1259" uniqueCount="225">
  <si>
    <t>SITE INFORMATION:</t>
  </si>
  <si>
    <t>ACRES IN PASTURE:</t>
  </si>
  <si>
    <t>Enter # of acres in the fields being subdivided</t>
  </si>
  <si>
    <t>NUMBER OF PADDOCKS:</t>
  </si>
  <si>
    <t>Enter number of pasture subdivsions being created by permanent fence</t>
  </si>
  <si>
    <t>TOTAL FOOTAGE FENCE:</t>
  </si>
  <si>
    <t>Enter the total linear distance of permanent fence</t>
  </si>
  <si>
    <t>TOTAL NUMBER OF WIRES:</t>
  </si>
  <si>
    <t>Enter # of wires in fence. (If building more than one type, do each separately)</t>
  </si>
  <si>
    <t>NUMBER OF ELECTRIFIED WIRES:</t>
  </si>
  <si>
    <t>Enter # of electrified wires in fence</t>
  </si>
  <si>
    <t>POST SPACING:</t>
  </si>
  <si>
    <t>Enter average line post spacing including all types of posts or droppers</t>
  </si>
  <si>
    <t>DEADMAN BRACE?</t>
  </si>
  <si>
    <t>(0=none 1=use this brace) Use deadman braces for 1 or 2 wire fences</t>
  </si>
  <si>
    <t>FLOATING BRACE?</t>
  </si>
  <si>
    <t>(0=none 1=use this brace) Use floating braces for 2-5 strand fences</t>
  </si>
  <si>
    <t>SINGLE OR DOUBLE H BRACE?</t>
  </si>
  <si>
    <t>(0=none, 1=single, 2=double) Use H-braces for 6 or more wires</t>
  </si>
  <si>
    <t>STRAIGHT STRETCHES OF FENCE:</t>
  </si>
  <si>
    <t>How many straight stretches of fence are there?</t>
  </si>
  <si>
    <t>FENCE STRETCHES WITH BRACED BEND:</t>
  </si>
  <si>
    <t>How many stretches of fence with braced bends?</t>
  </si>
  <si>
    <t>NUMBER OF ELECTRIC GATES:</t>
  </si>
  <si>
    <t>Default assumes there will be two gates per paddock</t>
  </si>
  <si>
    <t>GATE WIDTH</t>
  </si>
  <si>
    <t>Enter average gate width</t>
  </si>
  <si>
    <t>GATES TO BE WIRED UNDER:</t>
  </si>
  <si>
    <t>Enter how many gates will have underground cable to transfer power across gate</t>
  </si>
  <si>
    <t>NUMBER OF WATER BLOCKS</t>
  </si>
  <si>
    <t>Enter the number of water blocks in the grazing system</t>
  </si>
  <si>
    <t>WATER BLOCK SIDE DIMENSION</t>
  </si>
  <si>
    <t>Enter average side dimension of water blocks</t>
  </si>
  <si>
    <t>WIRE UNDER AT WATERBLOCKS ?</t>
  </si>
  <si>
    <t>Enter '1' if burying underground wire at water blocks. Enter '0' if no undergoround.</t>
  </si>
  <si>
    <t>WOOD LINEPOST ?</t>
  </si>
  <si>
    <t>Enter the percent of line posts that will be this type</t>
  </si>
  <si>
    <t>FENCING COST CALCULATIONS:</t>
  </si>
  <si>
    <t>MATERIALS</t>
  </si>
  <si>
    <t>UNITS NEEDED</t>
  </si>
  <si>
    <t>UNIT</t>
  </si>
  <si>
    <t xml:space="preserve"> </t>
  </si>
  <si>
    <t>ITEM TO BE USED</t>
  </si>
  <si>
    <t>COST</t>
  </si>
  <si>
    <t>TOTAL</t>
  </si>
  <si>
    <t>ea</t>
  </si>
  <si>
    <t>Insultube</t>
  </si>
  <si>
    <t>ft</t>
  </si>
  <si>
    <t>Gate handles</t>
  </si>
  <si>
    <t>PF Super wide pinlocks for gate tie off</t>
  </si>
  <si>
    <t>Braided polyrope for gates &amp; waterblocks</t>
  </si>
  <si>
    <t>Swivel cut-out switch</t>
  </si>
  <si>
    <t>12.5 ga hi-tensile wire</t>
  </si>
  <si>
    <t>Double-U terminal insulator</t>
  </si>
  <si>
    <t>Crimping sleeves</t>
  </si>
  <si>
    <t>In-line strainer</t>
  </si>
  <si>
    <t>Insulated leadout wire</t>
  </si>
  <si>
    <t>Stainless steel Screws for insulators</t>
  </si>
  <si>
    <t>lb</t>
  </si>
  <si>
    <t>1 3/4" barbed staples, 8 ga.</t>
  </si>
  <si>
    <t>FENCE MATERIAL COST</t>
  </si>
  <si>
    <t>FENCE MATERIAL COST/FT</t>
  </si>
  <si>
    <t>FENCE MATERIAL COST/1320'</t>
  </si>
  <si>
    <t>FENCE MATERIAL COST/ACRE</t>
  </si>
  <si>
    <t>Charge controller</t>
  </si>
  <si>
    <t>Ground rods 6' x 5/8"</t>
  </si>
  <si>
    <t>Ground rod clamps</t>
  </si>
  <si>
    <t>Lightning diverter</t>
  </si>
  <si>
    <t>Energizer &amp; Accessories</t>
  </si>
  <si>
    <t>Energizer &amp; Accessories Total</t>
  </si>
  <si>
    <t>joule</t>
  </si>
  <si>
    <t>Energizer cost/ft</t>
  </si>
  <si>
    <t>Energizer cost/1320'</t>
  </si>
  <si>
    <t>Energizer cost/acre</t>
  </si>
  <si>
    <t>Cotter key attachment for PP or Fiberglass posts</t>
  </si>
  <si>
    <t>This is the material cost for the fence, excluding energizer installation. We generally figure installation labor to be equal to the material cost of the fence.</t>
  </si>
  <si>
    <t>FIBERGLASS SUCKERROD 1.25" x 48"</t>
  </si>
  <si>
    <t>PASTURE PRO WPC  LINEPOST 1.125" X 48"</t>
  </si>
  <si>
    <t>TIMELESS FENCE POLY-T POST 1.5" X 48"</t>
  </si>
  <si>
    <t>Speedrite 3000 solar bundle</t>
  </si>
  <si>
    <t>This power unit can operate either as 110 v plug in or solar supported DC unit. We generally figure 1 mile of linear fence per joule of energizer output. Grounding requirement is minimum of 3 ft of ground rod per joule of output for a total of 9 ft of ground rods. The solar array &amp; bettery to support this unit is approximately $</t>
  </si>
  <si>
    <t>Solar panel 30 watt kit incl brackets &amp; controller</t>
  </si>
  <si>
    <t>Deep Cycle Marine Battery</t>
  </si>
  <si>
    <t>FIBERGLASS SUCKERROD 1.25" x 54"</t>
  </si>
  <si>
    <t>PASTURE PRO WPC  LINEPOST 1.125" X 54"</t>
  </si>
  <si>
    <t>FIBERGLASS SUCKERROD 1.25" x 60"</t>
  </si>
  <si>
    <t>PASTURE PRO WPC  LINEPOST 1.125" X 60"</t>
  </si>
  <si>
    <t>TIMELESS FENCE POLY-T POST 1.5" X 60"</t>
  </si>
  <si>
    <t>FIBERGLASS SUCKERROD 1.25" x 72"</t>
  </si>
  <si>
    <t>PASTURE PRO WPC  LINEPOST 1.125" X 72"</t>
  </si>
  <si>
    <t>TIMELESS FENCE POLY-T POST 1.5" X 72"</t>
  </si>
  <si>
    <t>TOTAL NUMBER OF BARBED WIRES:</t>
  </si>
  <si>
    <t>SINGLE OR DOUBLE H-BRACE ?</t>
  </si>
  <si>
    <t>(0=none, 1=single, 2=double) Use H-braces for 5 or more wires</t>
  </si>
  <si>
    <t>NUMBER OF GATES:</t>
  </si>
  <si>
    <t>TREATED WOOD OR STEEL PIPE LINEPOST ?</t>
  </si>
  <si>
    <t>STEEL T-POST LINEPOSTS</t>
  </si>
  <si>
    <t>8' x 4" treated braces</t>
  </si>
  <si>
    <t>#9 wire for wrapping braces</t>
  </si>
  <si>
    <t>7' x 4" treated linepost</t>
  </si>
  <si>
    <t>Staples</t>
  </si>
  <si>
    <t>6.5' Sreel T-post</t>
  </si>
  <si>
    <t>Barbed wire - 12.5 ga</t>
  </si>
  <si>
    <t>roll</t>
  </si>
  <si>
    <t>Capital recovery period</t>
  </si>
  <si>
    <t>Interest APR</t>
  </si>
  <si>
    <t>Annualized cost/acre</t>
  </si>
  <si>
    <t>6.5' x 4" treated linepost</t>
  </si>
  <si>
    <t>8' x 5/6" treated end posts</t>
  </si>
  <si>
    <t>8' x 5/6" treated second posts</t>
  </si>
  <si>
    <t>8' x 6/7" treated end posts</t>
  </si>
  <si>
    <t>8' x 6/7" treated second posts</t>
  </si>
  <si>
    <t>1-strand electrified hi-tensile</t>
  </si>
  <si>
    <t>2-strand electrified hi-tensile</t>
  </si>
  <si>
    <t>3-strand electrified hi-tensile</t>
  </si>
  <si>
    <t>4-strand electrified hi-tensile</t>
  </si>
  <si>
    <t>5-strand electrified hi-tensile</t>
  </si>
  <si>
    <t>8-strand electrified hi-tensile</t>
  </si>
  <si>
    <t>3-strand barb Gaucho 15.5 ga 4 pt</t>
  </si>
  <si>
    <t>4-strand barb Gaucho 15.5 ga 4 pt</t>
  </si>
  <si>
    <t>5-strand barb Gaucho 15.5 ga 4 pt</t>
  </si>
  <si>
    <t>3-strand barb Red Brand 12.5ga  4 pt</t>
  </si>
  <si>
    <t>4-strand barb Red Brand 12.5 ga 4 pt</t>
  </si>
  <si>
    <t>5-strand barb Red Brand 12.5 ga 4 pt</t>
  </si>
  <si>
    <t>$/ft</t>
  </si>
  <si>
    <t>$/1320 ft</t>
  </si>
  <si>
    <t>$/mile</t>
  </si>
  <si>
    <t>(Enter # of acres in field)</t>
  </si>
  <si>
    <t>(Enter # of subdivisions)</t>
  </si>
  <si>
    <t>(Enter linear fence distance)</t>
  </si>
  <si>
    <t>WOVEN WIRE</t>
  </si>
  <si>
    <t>(Enter # of wires)</t>
  </si>
  <si>
    <t>ELECTRIFIED WOVEN WIRE?</t>
  </si>
  <si>
    <t>1 = Yes   0 = No</t>
  </si>
  <si>
    <t>HORIZONTAL WIRES IN WEAVE</t>
  </si>
  <si>
    <t>(Enter first digit of wire code)</t>
  </si>
  <si>
    <t>REGULAR HI-TENSILE WIRE</t>
  </si>
  <si>
    <t>(Enter average post spacing)</t>
  </si>
  <si>
    <t>OFFSET ELECTRIFIED WIRES</t>
  </si>
  <si>
    <t>OFFSET BRACKET SPACING</t>
  </si>
  <si>
    <t>(Enter average bracket spacing)</t>
  </si>
  <si>
    <t>NUMBER OF GATES WIRED UNDER</t>
  </si>
  <si>
    <t>(enter # of gates with buried cable)</t>
  </si>
  <si>
    <t>(Enter average gate width)</t>
  </si>
  <si>
    <t>(Enter # of straight runs of fence)</t>
  </si>
  <si>
    <t>(Enter # of stretches with single bends)</t>
  </si>
  <si>
    <t>WOODEN OR STEEL PIPE LINEPOSTS</t>
  </si>
  <si>
    <t>(0=none 1=use this post)</t>
  </si>
  <si>
    <t>UNITS</t>
  </si>
  <si>
    <t>Gripples - medium</t>
  </si>
  <si>
    <t>12 1/2 ga. Hi-tensile wire</t>
  </si>
  <si>
    <t>Offset brackets</t>
  </si>
  <si>
    <t>Double-U corner insulators</t>
  </si>
  <si>
    <t>In-line strainers</t>
  </si>
  <si>
    <t>Cut-out switches</t>
  </si>
  <si>
    <t>MATERIAL COST</t>
  </si>
  <si>
    <t>MATERIAL COST/FT</t>
  </si>
  <si>
    <t>MATERIAL COST/1320'</t>
  </si>
  <si>
    <t>MATERIAL COST/ACRE</t>
  </si>
  <si>
    <t>TOP BARB WIRE</t>
  </si>
  <si>
    <t>8' X 6/7" End posts</t>
  </si>
  <si>
    <t>8' x 6/7" second posts</t>
  </si>
  <si>
    <t>8' x 4" brace member</t>
  </si>
  <si>
    <t>8' x 4"treated wood linepost</t>
  </si>
  <si>
    <t xml:space="preserve">Steel T-posts 78" x 1.33" </t>
  </si>
  <si>
    <t>Woven wire 13-47-4</t>
  </si>
  <si>
    <t>12.5 ga. 4-pt HT Barb Wire</t>
  </si>
  <si>
    <t>Woven wire HT 13-48-6 Fixed knot</t>
  </si>
  <si>
    <t>Woven wire conventional 13-47-6 Hinged</t>
  </si>
  <si>
    <t>Fence configuration</t>
  </si>
  <si>
    <t>Comments</t>
  </si>
  <si>
    <t>End assemblies same for both wire types. Post spacing 12.5 ft for conventional wire and 20 ft for HT woven.</t>
  </si>
  <si>
    <t>Fence material cost for 1/2-mile of conventional woven wire fence with one barb-wire on top.</t>
  </si>
  <si>
    <t>Fence material cost for 1/2-mile of hi-tensile fixed knot woven wire fence with one barb-wire on top.</t>
  </si>
  <si>
    <t>Fence material cost for 1/2-mile of 5-strand hi-tensile barb-wire fence.</t>
  </si>
  <si>
    <t>Fence material cost for 1/2-mile of 4-strand hi-tensile barb-wire fence.</t>
  </si>
  <si>
    <t>Fence material cost for 1/2-mile of 3-strand hi-tensile barb-wire fence.</t>
  </si>
  <si>
    <t>Fence material cost calculation for 5-strand conventional barb-wire fence.</t>
  </si>
  <si>
    <t>Fence material cost calculation for 4-strand conventional barb-wire fence.</t>
  </si>
  <si>
    <t>Fence material cost calculation for 3-strand conventional barb-wire fence.</t>
  </si>
  <si>
    <t>Fence material cost calculations for 1/2 mile of 8-strand electrified hi-tensile fence. Built as hot-ground fence.</t>
  </si>
  <si>
    <t>Fence material cost calculations for 1/2 mile of 5-strand electrified hi-tensile fence. All wires hot.</t>
  </si>
  <si>
    <t>Fence material cost calculations for 1/2 mile of 4-strand electrified hi-tensile fence.</t>
  </si>
  <si>
    <t>Fence material cost calculations for 1/2 mile of 3-strand electrified hi-tensile fence.</t>
  </si>
  <si>
    <t>Fence material cost calculations for 1/2 mile of 2-strand electrified hi-tensile fence.</t>
  </si>
  <si>
    <t>Fence material cost calculations for 1/2 mile of 1-strand electrified hi-tensile fence.</t>
  </si>
  <si>
    <t>Treated wood end or corner post</t>
  </si>
  <si>
    <t>Treated wood second post</t>
  </si>
  <si>
    <t>Treated wood brace member</t>
  </si>
  <si>
    <t>Treated wood line post</t>
  </si>
  <si>
    <t>Wood post insulator</t>
  </si>
  <si>
    <r>
      <t xml:space="preserve">This part of the worksheet provides a materials list for all components needed to construct the distance of fence specified above. Freight costs for materials shipped to your location would be in addition to the cost shown. Generally we recommend purchasing wood posts at a local supplier as they are very expensive to ship from our location. Wood post price is only an estimate and it may be higher or lower than what you may be able to obtain. The hi-tensile wire shown is 200,000 psi </t>
    </r>
    <r>
      <rPr>
        <b/>
        <i/>
        <sz val="10"/>
        <color theme="1"/>
        <rFont val="Arial"/>
        <family val="2"/>
      </rPr>
      <t>minimum breaking strength</t>
    </r>
    <r>
      <rPr>
        <b/>
        <sz val="10"/>
        <color indexed="10"/>
        <rFont val="Arial"/>
        <family val="2"/>
      </rPr>
      <t xml:space="preserve"> wire. This wire should stand up to any wildlife pressure in your region as well as livestock pressure. We do not recommend using the often locally available 170,000</t>
    </r>
    <r>
      <rPr>
        <b/>
        <i/>
        <sz val="10"/>
        <color theme="1"/>
        <rFont val="Arial"/>
        <family val="2"/>
      </rPr>
      <t xml:space="preserve"> maximum breaking strength</t>
    </r>
    <r>
      <rPr>
        <b/>
        <sz val="10"/>
        <color indexed="10"/>
        <rFont val="Arial"/>
        <family val="2"/>
      </rPr>
      <t xml:space="preserve"> wire as it is prone to sagging and much more easily broken.</t>
    </r>
  </si>
  <si>
    <t xml:space="preserve">This part of the worksheet provides a materials list for all components needed to construct the distance of fence specified above. All prices here were from Tractor Supply Company website. Wood post price is only an estimate and it may be higher or lower than what you may be able to obtain. </t>
  </si>
  <si>
    <t>Item</t>
  </si>
  <si>
    <t>Quantity</t>
  </si>
  <si>
    <t>Item cost</t>
  </si>
  <si>
    <t>Unit cost</t>
  </si>
  <si>
    <t>Barbed wire - 12.5 ga Class 1</t>
  </si>
  <si>
    <t>Treated wood end or corner post - 6-7" X 8'</t>
  </si>
  <si>
    <t>Treated wood end or corner post - 4-5" X 7'</t>
  </si>
  <si>
    <t>Treated wood line post - 4" X 6' pointed driver</t>
  </si>
  <si>
    <t>Treated wood line post - 4-5" X 7' pointed driver</t>
  </si>
  <si>
    <t>6.5' Steel T-post</t>
  </si>
  <si>
    <t>1320'</t>
  </si>
  <si>
    <t>330'</t>
  </si>
  <si>
    <t>100'</t>
  </si>
  <si>
    <t>1 lb</t>
  </si>
  <si>
    <t>50'</t>
  </si>
  <si>
    <t>4000'</t>
  </si>
  <si>
    <t>Woven wire 13-47-6 Red Brand</t>
  </si>
  <si>
    <t>Barbed wire - 15.5 ga HT Gaucho</t>
  </si>
  <si>
    <t>TIMELESS FENCE POLY-T POST 1.75" X 48"</t>
  </si>
  <si>
    <t>tIMELESS FENCE POLY-T POST 1.75" X 54"</t>
  </si>
  <si>
    <t>tIMELESS FENCE POLY-T POST 1.75" X 60"</t>
  </si>
  <si>
    <t>TIMELESS FENCE POLY-T POST 1.75" X 54"</t>
  </si>
  <si>
    <t>TIMELESS FENCE POLY-T POST 1.75" X 60"</t>
  </si>
  <si>
    <t>TIMELESS FENCE POLY-T POST 1.75" X 72"</t>
  </si>
  <si>
    <t>Barbed wire - 15.5 ga</t>
  </si>
  <si>
    <t>15.5 ga. 4-pt HT Barb Wire</t>
  </si>
  <si>
    <t>Woven wire Fixed Knot HT 13-48-6</t>
  </si>
  <si>
    <t>Woven wire Fixed Knot 13-48-6</t>
  </si>
  <si>
    <t xml:space="preserve">This comparison is based on posted retail prices on May 15 2024. All conventional fence components are from the Tractor Supply website. Hi-tensile fences are based on AGLS prices. There is an individual worksheet for each fence shown on this front page summary. All fences are built as 1/2 mile lengths. Electric fence energizer cost is based on 3 joule energizer capable of powering 3 miles of fence so the total costs was prorated across 3 miles rather than fully assigned to the 1/2-mile segment. The hi-tensile fences are continuous 1/2 mile stretches, the barbwire are as two 1/4 mile stretches, and the woven wire is four 1/8 mile stretches. You can adjust prices and fence configuration as needed in the individual worksheets. Altered results will show directly in this summary. </t>
  </si>
  <si>
    <t>All of these fences are 200000 psi Max 10 wire. Line posts are Poly T-posts. Energizer cost is based on 3-joule solar bundle. Braces and line post spacing are adjusted as the number of wires in the fence increases. 1 &amp; 2 strand fence use dead-man braces. 3 &amp; 4 strand use floating braces. 5 &amp; 8 strand use double H-braces</t>
  </si>
  <si>
    <t>All fences use 8 ft x 6-7" top as end &amp; 2nd post with double H-braces. Line posts are 6.5 ft X 1.25 lb steel T-posts. Post spacing is 12.5 ft.</t>
  </si>
  <si>
    <t>All fences use 8 ft x 6-7" top as end &amp; 2nd post with double H-braces. Line posts are 6.5 ft X 1.25 lb steel T-posts. Post spacing is 20 ft.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</si>
</sst>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5" formatCode="&quot;$&quot;#,##0_);\(&quot;$&quot;#,##0\)"/>
    <numFmt numFmtId="7" formatCode="&quot;$&quot;#,##0.00_);\(&quot;$&quot;#,##0.00\)"/>
    <numFmt numFmtId="8" formatCode="&quot;$&quot;#,##0.00_);[Red]\(&quot;$&quot;#,##0.00\)"/>
    <numFmt numFmtId="44" formatCode="_(&quot;$&quot;* #,##0.00_);_(&quot;$&quot;* \(#,##0.00\);_(&quot;$&quot;* &quot;-&quot;??_);_(@_)"/>
    <numFmt numFmtId="164" formatCode="0_)"/>
    <numFmt numFmtId="165" formatCode="&quot;$&quot;#,##0.000_);\(&quot;$&quot;#,##0.000\)"/>
    <numFmt numFmtId="166" formatCode="0.0"/>
    <numFmt numFmtId="167" formatCode="0.0%"/>
    <numFmt numFmtId="168" formatCode="_(&quot;$&quot;* #,##0_);_(&quot;$&quot;* \(#,##0\);_(&quot;$&quot;* &quot;-&quot;??_);_(@_)"/>
    <numFmt numFmtId="169" formatCode="_(&quot;$&quot;* #,##0.000_);_(&quot;$&quot;* \(#,##0.000\);_(&quot;$&quot;* &quot;-&quot;??_);_(@_)"/>
  </numFmts>
  <fonts count="32">
    <font>
      <sz val="11"/>
      <color theme="1"/>
      <name val="Calibri"/>
      <family val="2"/>
      <scheme val="minor"/>
    </font>
    <font>
      <sz val="11"/>
      <color theme="1"/>
      <name val="Calibri"/>
      <family val="2"/>
      <scheme val="minor"/>
    </font>
    <font>
      <b/>
      <sz val="12"/>
      <color indexed="17"/>
      <name val="Arial"/>
      <family val="2"/>
    </font>
    <font>
      <b/>
      <sz val="10"/>
      <name val="Arial"/>
      <family val="2"/>
    </font>
    <font>
      <sz val="12"/>
      <color indexed="12"/>
      <name val="Courier"/>
      <family val="3"/>
    </font>
    <font>
      <sz val="10"/>
      <color indexed="17"/>
      <name val="Arial"/>
      <family val="2"/>
    </font>
    <font>
      <sz val="12"/>
      <color indexed="12"/>
      <name val="Arial"/>
      <family val="2"/>
    </font>
    <font>
      <sz val="10"/>
      <name val="Arial"/>
      <family val="2"/>
    </font>
    <font>
      <sz val="10"/>
      <color indexed="10"/>
      <name val="Arial"/>
      <family val="2"/>
    </font>
    <font>
      <b/>
      <sz val="10"/>
      <color indexed="10"/>
      <name val="Arial"/>
      <family val="2"/>
    </font>
    <font>
      <b/>
      <i/>
      <sz val="10"/>
      <color theme="1"/>
      <name val="Arial"/>
      <family val="2"/>
    </font>
    <font>
      <sz val="11"/>
      <color rgb="FFFF0000"/>
      <name val="Calibri"/>
      <family val="2"/>
      <scheme val="minor"/>
    </font>
    <font>
      <sz val="11"/>
      <color rgb="FF0070C0"/>
      <name val="Calibri"/>
      <family val="2"/>
      <scheme val="minor"/>
    </font>
    <font>
      <b/>
      <sz val="12"/>
      <color rgb="FFFF0000"/>
      <name val="Calibri"/>
      <family val="2"/>
      <scheme val="minor"/>
    </font>
    <font>
      <b/>
      <sz val="11"/>
      <color theme="1"/>
      <name val="Arial"/>
      <family val="2"/>
    </font>
    <font>
      <b/>
      <sz val="11"/>
      <color rgb="FF0070C0"/>
      <name val="Calibri"/>
      <family val="2"/>
      <scheme val="minor"/>
    </font>
    <font>
      <i/>
      <sz val="11"/>
      <color theme="1"/>
      <name val="Calibri"/>
      <family val="2"/>
      <scheme val="minor"/>
    </font>
    <font>
      <b/>
      <sz val="11"/>
      <color rgb="FFC00000"/>
      <name val="Calibri"/>
      <family val="2"/>
      <scheme val="minor"/>
    </font>
    <font>
      <b/>
      <sz val="10"/>
      <color indexed="17"/>
      <name val="Arial"/>
      <family val="2"/>
    </font>
    <font>
      <b/>
      <sz val="11"/>
      <color theme="1"/>
      <name val="Calibri"/>
      <family val="2"/>
      <scheme val="minor"/>
    </font>
    <font>
      <sz val="10"/>
      <color indexed="12"/>
      <name val="Courier"/>
    </font>
    <font>
      <sz val="10"/>
      <color indexed="12"/>
      <name val="Arial"/>
    </font>
    <font>
      <sz val="10"/>
      <color indexed="12"/>
      <name val="Courier"/>
      <family val="3"/>
    </font>
    <font>
      <sz val="10"/>
      <color rgb="FFFF0000"/>
      <name val="Arial"/>
      <family val="2"/>
    </font>
    <font>
      <b/>
      <sz val="10"/>
      <color indexed="12"/>
      <name val="Arial"/>
      <family val="2"/>
    </font>
    <font>
      <b/>
      <sz val="10"/>
      <name val="Arial CE"/>
    </font>
    <font>
      <sz val="10"/>
      <name val="Arial CE"/>
      <family val="2"/>
      <charset val="238"/>
    </font>
    <font>
      <sz val="10"/>
      <color indexed="12"/>
      <name val="Arial CE"/>
      <family val="2"/>
      <charset val="238"/>
    </font>
    <font>
      <sz val="10"/>
      <color rgb="FF0070C0"/>
      <name val="Arial CE"/>
      <family val="2"/>
      <charset val="238"/>
    </font>
    <font>
      <b/>
      <sz val="10"/>
      <color indexed="10"/>
      <name val="Arial CE"/>
    </font>
    <font>
      <b/>
      <sz val="11"/>
      <color rgb="FF00B050"/>
      <name val="Calibri"/>
      <family val="2"/>
      <scheme val="minor"/>
    </font>
    <font>
      <b/>
      <sz val="13"/>
      <color rgb="FFC00000"/>
      <name val="Calibri"/>
      <family val="2"/>
      <scheme val="minor"/>
    </font>
  </fonts>
  <fills count="2">
    <fill>
      <patternFill patternType="none"/>
    </fill>
    <fill>
      <patternFill patternType="gray125"/>
    </fill>
  </fills>
  <borders count="8">
    <border>
      <left/>
      <right/>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93">
    <xf numFmtId="0" fontId="0" fillId="0" borderId="0" xfId="0"/>
    <xf numFmtId="0" fontId="3" fillId="0" borderId="0" xfId="0" applyFont="1" applyAlignment="1">
      <alignment horizontal="left"/>
    </xf>
    <xf numFmtId="0" fontId="0" fillId="0" borderId="0" xfId="0" applyAlignment="1">
      <alignment horizontal="left"/>
    </xf>
    <xf numFmtId="1" fontId="4" fillId="0" borderId="0" xfId="0" applyNumberFormat="1" applyFont="1" applyProtection="1">
      <protection locked="0"/>
    </xf>
    <xf numFmtId="0" fontId="4" fillId="0" borderId="0" xfId="0" applyFont="1" applyProtection="1">
      <protection locked="0"/>
    </xf>
    <xf numFmtId="1" fontId="6" fillId="0" borderId="0" xfId="0" applyNumberFormat="1" applyFont="1"/>
    <xf numFmtId="9" fontId="4" fillId="0" borderId="0" xfId="2" applyFont="1" applyProtection="1">
      <protection locked="0"/>
    </xf>
    <xf numFmtId="0" fontId="7" fillId="0" borderId="0" xfId="0" applyFont="1" applyAlignment="1">
      <alignment horizontal="left"/>
    </xf>
    <xf numFmtId="0" fontId="5" fillId="0" borderId="0" xfId="0" applyFont="1"/>
    <xf numFmtId="0" fontId="3" fillId="0" borderId="0" xfId="0" applyFont="1"/>
    <xf numFmtId="0" fontId="3" fillId="0" borderId="0" xfId="0" applyFont="1" applyAlignment="1">
      <alignment horizontal="center"/>
    </xf>
    <xf numFmtId="164" fontId="0" fillId="0" borderId="0" xfId="0" applyNumberFormat="1"/>
    <xf numFmtId="7" fontId="8" fillId="0" borderId="0" xfId="0" applyNumberFormat="1" applyFont="1"/>
    <xf numFmtId="7" fontId="0" fillId="0" borderId="0" xfId="0" applyNumberFormat="1" applyAlignment="1">
      <alignment horizontal="left"/>
    </xf>
    <xf numFmtId="7" fontId="0" fillId="0" borderId="0" xfId="0" applyNumberFormat="1"/>
    <xf numFmtId="44" fontId="8" fillId="0" borderId="6" xfId="1" applyFont="1" applyBorder="1"/>
    <xf numFmtId="165" fontId="8" fillId="0" borderId="0" xfId="0" applyNumberFormat="1" applyFont="1"/>
    <xf numFmtId="1" fontId="0" fillId="0" borderId="0" xfId="0" applyNumberFormat="1"/>
    <xf numFmtId="2" fontId="0" fillId="0" borderId="0" xfId="0" applyNumberFormat="1"/>
    <xf numFmtId="5" fontId="0" fillId="0" borderId="0" xfId="0" applyNumberFormat="1"/>
    <xf numFmtId="164" fontId="3" fillId="0" borderId="0" xfId="0" applyNumberFormat="1" applyFont="1" applyAlignment="1">
      <alignment horizontal="left"/>
    </xf>
    <xf numFmtId="5" fontId="3" fillId="0" borderId="0" xfId="0" applyNumberFormat="1" applyFont="1"/>
    <xf numFmtId="165" fontId="3" fillId="0" borderId="0" xfId="0" applyNumberFormat="1" applyFont="1"/>
    <xf numFmtId="7" fontId="3" fillId="0" borderId="0" xfId="0" applyNumberFormat="1" applyFont="1"/>
    <xf numFmtId="44" fontId="11" fillId="0" borderId="0" xfId="1" applyFont="1"/>
    <xf numFmtId="0" fontId="12" fillId="0" borderId="0" xfId="0" applyFont="1"/>
    <xf numFmtId="0" fontId="11" fillId="0" borderId="0" xfId="0" applyFont="1"/>
    <xf numFmtId="0" fontId="13" fillId="0" borderId="0" xfId="0" applyFont="1"/>
    <xf numFmtId="7" fontId="14" fillId="0" borderId="0" xfId="0" applyNumberFormat="1" applyFont="1"/>
    <xf numFmtId="0" fontId="15" fillId="0" borderId="0" xfId="0" applyFont="1"/>
    <xf numFmtId="0" fontId="16" fillId="0" borderId="0" xfId="0" applyFont="1"/>
    <xf numFmtId="0" fontId="3" fillId="0" borderId="3" xfId="0" applyFont="1" applyBorder="1" applyAlignment="1">
      <alignment horizontal="center" wrapText="1"/>
    </xf>
    <xf numFmtId="1" fontId="20" fillId="0" borderId="0" xfId="0" applyNumberFormat="1" applyFont="1" applyProtection="1">
      <protection locked="0"/>
    </xf>
    <xf numFmtId="0" fontId="20" fillId="0" borderId="0" xfId="0" applyFont="1" applyProtection="1">
      <protection locked="0"/>
    </xf>
    <xf numFmtId="1" fontId="21" fillId="0" borderId="0" xfId="0" applyNumberFormat="1" applyFont="1"/>
    <xf numFmtId="166" fontId="20" fillId="0" borderId="0" xfId="0" applyNumberFormat="1" applyFont="1" applyProtection="1">
      <protection locked="0"/>
    </xf>
    <xf numFmtId="0" fontId="22" fillId="0" borderId="0" xfId="0" applyFont="1" applyProtection="1">
      <protection locked="0"/>
    </xf>
    <xf numFmtId="9" fontId="20" fillId="0" borderId="0" xfId="2" applyFont="1" applyProtection="1">
      <protection locked="0"/>
    </xf>
    <xf numFmtId="7" fontId="7" fillId="0" borderId="0" xfId="0" applyNumberFormat="1" applyFont="1" applyAlignment="1">
      <alignment horizontal="left"/>
    </xf>
    <xf numFmtId="1" fontId="23" fillId="0" borderId="0" xfId="0" applyNumberFormat="1" applyFont="1"/>
    <xf numFmtId="37" fontId="23" fillId="0" borderId="0" xfId="1" applyNumberFormat="1" applyFont="1"/>
    <xf numFmtId="0" fontId="24" fillId="0" borderId="0" xfId="0" applyFont="1"/>
    <xf numFmtId="167" fontId="24" fillId="0" borderId="0" xfId="2" applyNumberFormat="1" applyFont="1"/>
    <xf numFmtId="8" fontId="0" fillId="0" borderId="0" xfId="0" applyNumberFormat="1"/>
    <xf numFmtId="0" fontId="19" fillId="0" borderId="0" xfId="0" applyFont="1" applyAlignment="1">
      <alignment horizontal="center"/>
    </xf>
    <xf numFmtId="44" fontId="0" fillId="0" borderId="0" xfId="1" applyFont="1"/>
    <xf numFmtId="0" fontId="25" fillId="0" borderId="0" xfId="0" applyFont="1" applyAlignment="1">
      <alignment horizontal="left"/>
    </xf>
    <xf numFmtId="0" fontId="26" fillId="0" borderId="0" xfId="0" applyFont="1"/>
    <xf numFmtId="1" fontId="27" fillId="0" borderId="0" xfId="0" applyNumberFormat="1" applyFont="1" applyProtection="1">
      <protection locked="0"/>
    </xf>
    <xf numFmtId="0" fontId="26" fillId="0" borderId="0" xfId="0" applyFont="1" applyAlignment="1">
      <alignment horizontal="left"/>
    </xf>
    <xf numFmtId="0" fontId="27" fillId="0" borderId="0" xfId="0" applyFont="1" applyProtection="1">
      <protection locked="0"/>
    </xf>
    <xf numFmtId="164" fontId="27" fillId="0" borderId="0" xfId="0" applyNumberFormat="1" applyFont="1" applyProtection="1">
      <protection locked="0"/>
    </xf>
    <xf numFmtId="167" fontId="27" fillId="0" borderId="0" xfId="2" applyNumberFormat="1" applyFont="1" applyProtection="1">
      <protection locked="0"/>
    </xf>
    <xf numFmtId="7" fontId="26" fillId="0" borderId="0" xfId="0" applyNumberFormat="1" applyFont="1"/>
    <xf numFmtId="0" fontId="25" fillId="0" borderId="0" xfId="0" applyFont="1"/>
    <xf numFmtId="0" fontId="25" fillId="0" borderId="0" xfId="0" applyFont="1" applyAlignment="1">
      <alignment horizontal="center"/>
    </xf>
    <xf numFmtId="164" fontId="26" fillId="0" borderId="0" xfId="0" applyNumberFormat="1" applyFont="1"/>
    <xf numFmtId="44" fontId="28" fillId="0" borderId="0" xfId="1" applyFont="1" applyProtection="1"/>
    <xf numFmtId="7" fontId="26" fillId="0" borderId="0" xfId="0" applyNumberFormat="1" applyFont="1" applyAlignment="1">
      <alignment horizontal="left"/>
    </xf>
    <xf numFmtId="44" fontId="26" fillId="0" borderId="0" xfId="1" applyFont="1" applyProtection="1"/>
    <xf numFmtId="44" fontId="29" fillId="0" borderId="0" xfId="1" applyFont="1"/>
    <xf numFmtId="1" fontId="26" fillId="0" borderId="0" xfId="0" applyNumberFormat="1" applyFont="1"/>
    <xf numFmtId="164" fontId="25" fillId="0" borderId="0" xfId="0" applyNumberFormat="1" applyFont="1" applyAlignment="1">
      <alignment horizontal="left"/>
    </xf>
    <xf numFmtId="7" fontId="25" fillId="0" borderId="0" xfId="0" applyNumberFormat="1" applyFont="1"/>
    <xf numFmtId="165" fontId="25" fillId="0" borderId="0" xfId="0" applyNumberFormat="1" applyFont="1"/>
    <xf numFmtId="168" fontId="0" fillId="0" borderId="0" xfId="0" applyNumberFormat="1"/>
    <xf numFmtId="0" fontId="0" fillId="0" borderId="0" xfId="0" applyAlignment="1">
      <alignment horizontal="right"/>
    </xf>
    <xf numFmtId="7" fontId="26" fillId="0" borderId="0" xfId="1" applyNumberFormat="1" applyFont="1" applyProtection="1"/>
    <xf numFmtId="169" fontId="0" fillId="0" borderId="0" xfId="1" applyNumberFormat="1" applyFont="1"/>
    <xf numFmtId="44" fontId="8" fillId="0" borderId="0" xfId="0" applyNumberFormat="1" applyFont="1"/>
    <xf numFmtId="0" fontId="30" fillId="0" borderId="0" xfId="0" applyFont="1" applyAlignment="1">
      <alignment vertical="top" wrapText="1"/>
    </xf>
    <xf numFmtId="0" fontId="30" fillId="0" borderId="0" xfId="0" applyFont="1" applyAlignment="1">
      <alignment wrapText="1"/>
    </xf>
    <xf numFmtId="0" fontId="31" fillId="0" borderId="0" xfId="0" applyFont="1" applyAlignment="1">
      <alignment wrapText="1"/>
    </xf>
    <xf numFmtId="0" fontId="14" fillId="0" borderId="0" xfId="0" applyFont="1" applyAlignment="1">
      <alignment horizontal="right"/>
    </xf>
    <xf numFmtId="0" fontId="5" fillId="0" borderId="0" xfId="0" applyFont="1" applyAlignment="1">
      <alignment horizontal="left"/>
    </xf>
    <xf numFmtId="0" fontId="5" fillId="0" borderId="0" xfId="0" applyFont="1"/>
    <xf numFmtId="0" fontId="17" fillId="0" borderId="0" xfId="0" applyFont="1" applyAlignment="1">
      <alignment vertical="top" wrapText="1"/>
    </xf>
    <xf numFmtId="0" fontId="0" fillId="0" borderId="0" xfId="0"/>
    <xf numFmtId="0" fontId="2" fillId="0" borderId="1" xfId="0" applyFont="1" applyBorder="1" applyAlignment="1">
      <alignment wrapText="1"/>
    </xf>
    <xf numFmtId="0" fontId="2" fillId="0" borderId="0" xfId="0" applyFont="1" applyAlignment="1">
      <alignment wrapText="1"/>
    </xf>
    <xf numFmtId="0" fontId="2" fillId="0" borderId="2" xfId="0" applyFont="1" applyBorder="1" applyAlignment="1">
      <alignment wrapText="1"/>
    </xf>
    <xf numFmtId="0" fontId="3" fillId="0" borderId="3" xfId="0" applyFont="1" applyBorder="1" applyAlignment="1">
      <alignment horizontal="center" wrapText="1"/>
    </xf>
    <xf numFmtId="0" fontId="0" fillId="0" borderId="4" xfId="0" applyBorder="1" applyAlignment="1">
      <alignment wrapText="1"/>
    </xf>
    <xf numFmtId="0" fontId="9" fillId="0" borderId="3" xfId="0" applyFont="1" applyBorder="1" applyAlignment="1">
      <alignment vertical="top" wrapText="1"/>
    </xf>
    <xf numFmtId="0" fontId="9" fillId="0" borderId="5" xfId="0" applyFont="1" applyBorder="1" applyAlignment="1">
      <alignment vertical="top" wrapText="1"/>
    </xf>
    <xf numFmtId="0" fontId="9" fillId="0" borderId="4" xfId="0" applyFont="1" applyBorder="1" applyAlignment="1">
      <alignment vertical="top" wrapText="1"/>
    </xf>
    <xf numFmtId="0" fontId="18" fillId="0" borderId="0" xfId="0" applyFont="1" applyAlignment="1">
      <alignment wrapText="1"/>
    </xf>
    <xf numFmtId="164" fontId="0" fillId="0" borderId="0" xfId="0" applyNumberFormat="1"/>
    <xf numFmtId="0" fontId="9" fillId="0" borderId="7" xfId="0" applyFont="1" applyBorder="1" applyAlignment="1">
      <alignment vertical="top" wrapText="1"/>
    </xf>
    <xf numFmtId="0" fontId="9" fillId="0" borderId="0" xfId="0" applyFont="1" applyAlignment="1">
      <alignment vertical="top" wrapText="1"/>
    </xf>
    <xf numFmtId="0" fontId="3" fillId="0" borderId="0" xfId="0" applyFont="1" applyAlignment="1">
      <alignment horizontal="right"/>
    </xf>
    <xf numFmtId="0" fontId="26" fillId="0" borderId="0" xfId="0" applyFont="1" applyAlignment="1">
      <alignment horizontal="right"/>
    </xf>
    <xf numFmtId="0" fontId="26" fillId="0" borderId="0" xfId="0" applyFont="1" applyAlignment="1">
      <alignment horizontal="left"/>
    </xf>
  </cellXfs>
  <cellStyles count="3">
    <cellStyle name="Currency" xfId="1" builtinId="4"/>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1E8E48-8F1E-4C8C-B89D-8589D7FB9AF4}">
  <dimension ref="A1:E19"/>
  <sheetViews>
    <sheetView tabSelected="1" zoomScaleNormal="100" workbookViewId="0">
      <selection activeCell="G1" sqref="G1"/>
    </sheetView>
  </sheetViews>
  <sheetFormatPr defaultRowHeight="14.4"/>
  <cols>
    <col min="1" max="1" width="36.44140625" customWidth="1"/>
    <col min="4" max="4" width="10.109375" bestFit="1" customWidth="1"/>
    <col min="5" max="5" width="54.109375" customWidth="1"/>
  </cols>
  <sheetData>
    <row r="1" spans="1:5" ht="123.6" customHeight="1">
      <c r="A1" s="72" t="s">
        <v>221</v>
      </c>
      <c r="B1" s="72"/>
      <c r="C1" s="72"/>
      <c r="D1" s="72"/>
      <c r="E1" s="72"/>
    </row>
    <row r="2" spans="1:5">
      <c r="A2" s="44" t="s">
        <v>169</v>
      </c>
      <c r="B2" s="44" t="s">
        <v>124</v>
      </c>
      <c r="C2" s="44" t="s">
        <v>125</v>
      </c>
      <c r="D2" s="44" t="s">
        <v>126</v>
      </c>
      <c r="E2" s="44" t="s">
        <v>170</v>
      </c>
    </row>
    <row r="3" spans="1:5">
      <c r="A3" s="66" t="s">
        <v>112</v>
      </c>
      <c r="B3" s="45">
        <f>'1-strand'!G52+'1-strand'!G67</f>
        <v>0.25207818640954999</v>
      </c>
      <c r="C3" s="65">
        <f>B3*1320</f>
        <v>332.74320606060598</v>
      </c>
      <c r="D3" s="65">
        <f>B3*5280</f>
        <v>1330.9728242424239</v>
      </c>
      <c r="E3" s="70" t="s">
        <v>222</v>
      </c>
    </row>
    <row r="4" spans="1:5">
      <c r="A4" s="66" t="s">
        <v>113</v>
      </c>
      <c r="B4" s="45">
        <f>'2-strand'!G52+'2-strand'!G67</f>
        <v>0.30840746326905416</v>
      </c>
      <c r="C4" s="65">
        <f t="shared" ref="C4:C8" si="0">B4*1320</f>
        <v>407.09785151515149</v>
      </c>
      <c r="D4" s="65">
        <f t="shared" ref="D4:D8" si="1">B4*5280</f>
        <v>1628.391406060606</v>
      </c>
      <c r="E4" s="70"/>
    </row>
    <row r="5" spans="1:5">
      <c r="A5" s="66" t="s">
        <v>114</v>
      </c>
      <c r="B5" s="45">
        <f>'3-strand'!G52+'3-strand'!G67</f>
        <v>0.51210770775941228</v>
      </c>
      <c r="C5" s="65">
        <f t="shared" si="0"/>
        <v>675.98217424242421</v>
      </c>
      <c r="D5" s="65">
        <f t="shared" si="1"/>
        <v>2703.9286969696968</v>
      </c>
      <c r="E5" s="70"/>
    </row>
    <row r="6" spans="1:5">
      <c r="A6" s="66" t="s">
        <v>115</v>
      </c>
      <c r="B6" s="45">
        <f>'4-strand'!G67+'4-strand'!G52</f>
        <v>0.52448391299357211</v>
      </c>
      <c r="C6" s="65">
        <f t="shared" si="0"/>
        <v>692.31876515151521</v>
      </c>
      <c r="D6" s="65">
        <f t="shared" si="1"/>
        <v>2769.2750606060608</v>
      </c>
      <c r="E6" s="70"/>
    </row>
    <row r="7" spans="1:5">
      <c r="A7" s="66" t="s">
        <v>116</v>
      </c>
      <c r="B7" s="45">
        <f>'5-strand'!G52+'5-strand'!G67</f>
        <v>0.59337526974288335</v>
      </c>
      <c r="C7" s="65">
        <f t="shared" si="0"/>
        <v>783.255356060606</v>
      </c>
      <c r="D7" s="65">
        <f t="shared" si="1"/>
        <v>3133.021424242424</v>
      </c>
      <c r="E7" s="70"/>
    </row>
    <row r="8" spans="1:5">
      <c r="A8" s="66" t="s">
        <v>117</v>
      </c>
      <c r="B8" s="45">
        <f>'8 strand'!G52+'8 strand'!G67</f>
        <v>0.89642979797979816</v>
      </c>
      <c r="C8" s="65">
        <f t="shared" si="0"/>
        <v>1183.2873333333337</v>
      </c>
      <c r="D8" s="65">
        <f t="shared" si="1"/>
        <v>4733.1493333333347</v>
      </c>
      <c r="E8" s="70"/>
    </row>
    <row r="9" spans="1:5">
      <c r="A9" s="66"/>
    </row>
    <row r="10" spans="1:5">
      <c r="A10" s="66" t="s">
        <v>121</v>
      </c>
      <c r="B10" s="45">
        <f>'Barb RB 3-strand'!G28</f>
        <v>0.9702256781289772</v>
      </c>
      <c r="C10" s="65">
        <f t="shared" ref="C10:C12" si="2">B10*1320</f>
        <v>1280.6978951302499</v>
      </c>
      <c r="D10" s="65">
        <f t="shared" ref="D10:D12" si="3">B10*5280</f>
        <v>5122.7915805209996</v>
      </c>
      <c r="E10" s="71" t="s">
        <v>223</v>
      </c>
    </row>
    <row r="11" spans="1:5">
      <c r="A11" s="66" t="s">
        <v>122</v>
      </c>
      <c r="B11" s="45">
        <f>'Barb RB 4-strand'!G28</f>
        <v>1.0691205665587291</v>
      </c>
      <c r="C11" s="65">
        <f t="shared" si="2"/>
        <v>1411.2391478575225</v>
      </c>
      <c r="D11" s="65">
        <f t="shared" si="3"/>
        <v>5644.9565914300902</v>
      </c>
      <c r="E11" s="71"/>
    </row>
    <row r="12" spans="1:5">
      <c r="A12" s="66" t="s">
        <v>123</v>
      </c>
      <c r="B12" s="45">
        <f>'Barb RB 5-strand'!G28</f>
        <v>1.1680154549884811</v>
      </c>
      <c r="C12" s="65">
        <f t="shared" si="2"/>
        <v>1541.7804005847952</v>
      </c>
      <c r="D12" s="65">
        <f t="shared" si="3"/>
        <v>6167.1216023391808</v>
      </c>
      <c r="E12" s="71"/>
    </row>
    <row r="13" spans="1:5">
      <c r="A13" s="66"/>
      <c r="B13" s="45"/>
    </row>
    <row r="14" spans="1:5" ht="14.4" customHeight="1">
      <c r="A14" s="66" t="s">
        <v>118</v>
      </c>
      <c r="B14" s="45">
        <f>'Barb GC 3-strand'!G28</f>
        <v>0.68109754176534087</v>
      </c>
      <c r="C14" s="65">
        <f t="shared" ref="C14:C16" si="4">B14*1320</f>
        <v>899.0487551302499</v>
      </c>
      <c r="D14" s="65">
        <f t="shared" ref="D14:D16" si="5">B14*5280</f>
        <v>3596.1950205209996</v>
      </c>
      <c r="E14" s="71" t="s">
        <v>224</v>
      </c>
    </row>
    <row r="15" spans="1:5">
      <c r="A15" s="66" t="s">
        <v>119</v>
      </c>
      <c r="B15" s="45">
        <f>'Barb GC 4-strand'!G28</f>
        <v>0.74617638474054748</v>
      </c>
      <c r="C15" s="65">
        <f t="shared" si="4"/>
        <v>984.95282785752272</v>
      </c>
      <c r="D15" s="65">
        <f t="shared" si="5"/>
        <v>3939.8113114300909</v>
      </c>
      <c r="E15" s="71"/>
    </row>
    <row r="16" spans="1:5">
      <c r="A16" s="66" t="s">
        <v>120</v>
      </c>
      <c r="B16" s="45">
        <f>'Barb GC 5-strand'!G28</f>
        <v>0.81125522771575398</v>
      </c>
      <c r="C16" s="65">
        <f t="shared" si="4"/>
        <v>1070.8569005847953</v>
      </c>
      <c r="D16" s="65">
        <f t="shared" si="5"/>
        <v>4283.4276023391812</v>
      </c>
      <c r="E16" s="71"/>
    </row>
    <row r="17" spans="1:5">
      <c r="A17" s="66"/>
    </row>
    <row r="18" spans="1:5">
      <c r="A18" s="66" t="s">
        <v>168</v>
      </c>
      <c r="B18" s="45">
        <f>'Woven Red Brand'!G45</f>
        <v>1.7074720454545456</v>
      </c>
      <c r="C18" s="65">
        <f t="shared" ref="C18:C19" si="6">B18*1320</f>
        <v>2253.8631</v>
      </c>
      <c r="D18" s="65">
        <f t="shared" ref="D18:D19" si="7">B18*5280</f>
        <v>9015.4524000000001</v>
      </c>
      <c r="E18" s="71" t="s">
        <v>171</v>
      </c>
    </row>
    <row r="19" spans="1:5">
      <c r="A19" s="66" t="s">
        <v>167</v>
      </c>
      <c r="B19" s="45">
        <f>'Woven HT'!G45</f>
        <v>1.6063196969696971</v>
      </c>
      <c r="C19" s="65">
        <f t="shared" si="6"/>
        <v>2120.3420000000001</v>
      </c>
      <c r="D19" s="65">
        <f t="shared" si="7"/>
        <v>8481.3680000000004</v>
      </c>
      <c r="E19" s="71"/>
    </row>
  </sheetData>
  <mergeCells count="5">
    <mergeCell ref="E3:E8"/>
    <mergeCell ref="E10:E12"/>
    <mergeCell ref="E14:E16"/>
    <mergeCell ref="E18:E19"/>
    <mergeCell ref="A1:E1"/>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9DC67B-9649-4630-BB83-745EFFC43A0D}">
  <dimension ref="A1:H35"/>
  <sheetViews>
    <sheetView topLeftCell="A7" workbookViewId="0">
      <selection activeCell="D19" sqref="D19:E26"/>
    </sheetView>
  </sheetViews>
  <sheetFormatPr defaultRowHeight="14.4"/>
  <cols>
    <col min="1" max="1" width="4.6640625" customWidth="1"/>
    <col min="2" max="2" width="40.44140625" customWidth="1"/>
    <col min="5" max="5" width="11" customWidth="1"/>
    <col min="7" max="7" width="13.33203125" customWidth="1"/>
    <col min="8" max="8" width="36.33203125" customWidth="1"/>
  </cols>
  <sheetData>
    <row r="1" spans="1:8" ht="34.799999999999997" customHeight="1">
      <c r="A1" s="78" t="s">
        <v>178</v>
      </c>
      <c r="B1" s="79"/>
      <c r="C1" s="79"/>
      <c r="D1" s="79"/>
      <c r="E1" s="79"/>
      <c r="F1" s="79"/>
      <c r="G1" s="79"/>
      <c r="H1" s="80"/>
    </row>
    <row r="3" spans="1:8">
      <c r="A3" s="1" t="s">
        <v>0</v>
      </c>
    </row>
    <row r="4" spans="1:8">
      <c r="B4" s="2" t="s">
        <v>1</v>
      </c>
      <c r="D4" s="32">
        <v>160</v>
      </c>
      <c r="E4" s="74" t="s">
        <v>2</v>
      </c>
      <c r="F4" s="75"/>
      <c r="G4" s="75"/>
      <c r="H4" s="75"/>
    </row>
    <row r="5" spans="1:8">
      <c r="B5" s="2" t="s">
        <v>3</v>
      </c>
      <c r="D5" s="33">
        <v>1</v>
      </c>
      <c r="E5" s="74" t="s">
        <v>4</v>
      </c>
      <c r="F5" s="75"/>
      <c r="G5" s="75"/>
      <c r="H5" s="75"/>
    </row>
    <row r="6" spans="1:8">
      <c r="B6" s="2" t="s">
        <v>5</v>
      </c>
      <c r="D6" s="34">
        <v>2640</v>
      </c>
      <c r="E6" s="74" t="s">
        <v>6</v>
      </c>
      <c r="F6" s="75"/>
      <c r="G6" s="75"/>
      <c r="H6" s="75"/>
    </row>
    <row r="7" spans="1:8">
      <c r="B7" s="2" t="s">
        <v>91</v>
      </c>
      <c r="D7" s="33">
        <v>4</v>
      </c>
      <c r="E7" s="74" t="s">
        <v>8</v>
      </c>
      <c r="F7" s="75"/>
      <c r="G7" s="75"/>
      <c r="H7" s="75"/>
    </row>
    <row r="8" spans="1:8">
      <c r="B8" s="2" t="s">
        <v>11</v>
      </c>
      <c r="D8" s="35">
        <v>12.5</v>
      </c>
      <c r="E8" s="74" t="s">
        <v>12</v>
      </c>
      <c r="F8" s="75"/>
      <c r="G8" s="75"/>
      <c r="H8" s="75"/>
    </row>
    <row r="9" spans="1:8">
      <c r="B9" s="2" t="s">
        <v>92</v>
      </c>
      <c r="D9" s="33">
        <v>2</v>
      </c>
      <c r="E9" s="74" t="s">
        <v>93</v>
      </c>
      <c r="F9" s="75"/>
      <c r="G9" s="75"/>
      <c r="H9" s="75"/>
    </row>
    <row r="10" spans="1:8">
      <c r="B10" s="2" t="s">
        <v>19</v>
      </c>
      <c r="D10" s="33">
        <v>2</v>
      </c>
      <c r="E10" s="74" t="s">
        <v>20</v>
      </c>
      <c r="F10" s="75"/>
      <c r="G10" s="75"/>
      <c r="H10" s="75"/>
    </row>
    <row r="11" spans="1:8">
      <c r="B11" s="2" t="s">
        <v>21</v>
      </c>
      <c r="D11" s="33">
        <v>0</v>
      </c>
      <c r="E11" s="74" t="s">
        <v>22</v>
      </c>
      <c r="F11" s="75"/>
      <c r="G11" s="75"/>
      <c r="H11" s="75"/>
    </row>
    <row r="12" spans="1:8">
      <c r="B12" s="2" t="s">
        <v>94</v>
      </c>
      <c r="D12" s="36">
        <v>1</v>
      </c>
      <c r="E12" s="74" t="s">
        <v>24</v>
      </c>
      <c r="F12" s="75"/>
      <c r="G12" s="75"/>
      <c r="H12" s="75"/>
    </row>
    <row r="13" spans="1:8">
      <c r="B13" s="2" t="s">
        <v>25</v>
      </c>
      <c r="D13" s="33">
        <v>24</v>
      </c>
      <c r="E13" s="74" t="s">
        <v>26</v>
      </c>
      <c r="F13" s="75"/>
      <c r="G13" s="75"/>
      <c r="H13" s="75"/>
    </row>
    <row r="14" spans="1:8">
      <c r="B14" s="7" t="s">
        <v>95</v>
      </c>
      <c r="D14" s="37">
        <v>0.1</v>
      </c>
      <c r="E14" s="74" t="s">
        <v>36</v>
      </c>
      <c r="F14" s="75"/>
      <c r="G14" s="75"/>
      <c r="H14" s="75"/>
    </row>
    <row r="15" spans="1:8">
      <c r="B15" s="2" t="s">
        <v>96</v>
      </c>
      <c r="D15" s="37">
        <v>0.9</v>
      </c>
      <c r="E15" s="74" t="s">
        <v>36</v>
      </c>
      <c r="F15" s="75"/>
      <c r="G15" s="75"/>
      <c r="H15" s="75"/>
    </row>
    <row r="16" spans="1:8">
      <c r="H16" s="8"/>
    </row>
    <row r="17" spans="1:8">
      <c r="A17" s="1" t="s">
        <v>37</v>
      </c>
      <c r="H17" s="8"/>
    </row>
    <row r="18" spans="1:8" ht="27">
      <c r="A18" s="9" t="s">
        <v>38</v>
      </c>
      <c r="B18" s="9"/>
      <c r="C18" s="31" t="s">
        <v>39</v>
      </c>
      <c r="D18" s="9"/>
      <c r="E18" s="10" t="s">
        <v>40</v>
      </c>
      <c r="F18" s="9"/>
      <c r="G18" s="9"/>
      <c r="H18" s="8"/>
    </row>
    <row r="19" spans="1:8" ht="14.4" customHeight="1">
      <c r="B19" s="2" t="s">
        <v>108</v>
      </c>
      <c r="C19" s="11">
        <f>(D10*2)+(D11*3)</f>
        <v>4</v>
      </c>
      <c r="E19" s="69">
        <f>'Price List'!C3</f>
        <v>25</v>
      </c>
      <c r="F19" s="13" t="s">
        <v>45</v>
      </c>
      <c r="G19" s="19">
        <f t="shared" ref="G19:G22" si="0">E19*C19</f>
        <v>100</v>
      </c>
      <c r="H19" s="88" t="s">
        <v>192</v>
      </c>
    </row>
    <row r="20" spans="1:8">
      <c r="B20" s="2" t="s">
        <v>109</v>
      </c>
      <c r="C20" s="11">
        <f>(D9*D10*2)+(D9*D11*4)</f>
        <v>8</v>
      </c>
      <c r="E20" s="69">
        <f>'Price List'!C3</f>
        <v>25</v>
      </c>
      <c r="F20" s="13" t="s">
        <v>45</v>
      </c>
      <c r="G20" s="19">
        <f t="shared" si="0"/>
        <v>200</v>
      </c>
      <c r="H20" s="89"/>
    </row>
    <row r="21" spans="1:8">
      <c r="B21" s="2" t="s">
        <v>97</v>
      </c>
      <c r="C21" s="11">
        <f>C20</f>
        <v>8</v>
      </c>
      <c r="E21" s="69">
        <f>'Price List'!D4</f>
        <v>16</v>
      </c>
      <c r="F21" s="13" t="s">
        <v>45</v>
      </c>
      <c r="G21" s="19">
        <f t="shared" si="0"/>
        <v>128</v>
      </c>
      <c r="H21" s="89"/>
    </row>
    <row r="22" spans="1:8">
      <c r="B22" s="7" t="s">
        <v>98</v>
      </c>
      <c r="C22" s="11">
        <f>C21*20</f>
        <v>160</v>
      </c>
      <c r="E22" s="69">
        <f>'Price List'!D12</f>
        <v>0.15783625730994152</v>
      </c>
      <c r="F22" s="38" t="s">
        <v>47</v>
      </c>
      <c r="G22" s="19">
        <f t="shared" si="0"/>
        <v>25.253801169590645</v>
      </c>
      <c r="H22" s="89"/>
    </row>
    <row r="23" spans="1:8">
      <c r="B23" s="2" t="s">
        <v>107</v>
      </c>
      <c r="C23" s="11">
        <f>(D6/D8)*D14</f>
        <v>21.12</v>
      </c>
      <c r="E23" s="69">
        <f>'Price List'!C6</f>
        <v>10</v>
      </c>
      <c r="F23" s="2" t="s">
        <v>45</v>
      </c>
      <c r="G23" s="19">
        <f>E23*C23</f>
        <v>211.20000000000002</v>
      </c>
      <c r="H23" s="89"/>
    </row>
    <row r="24" spans="1:8">
      <c r="B24" s="2" t="s">
        <v>100</v>
      </c>
      <c r="C24" s="11">
        <f>((C23+C19+C20)*D7)+50</f>
        <v>182.48000000000002</v>
      </c>
      <c r="D24" s="39">
        <f>C24/55</f>
        <v>3.3178181818181822</v>
      </c>
      <c r="E24" s="69">
        <f>'Price List'!C13</f>
        <v>3.99</v>
      </c>
      <c r="F24" s="2" t="s">
        <v>45</v>
      </c>
      <c r="G24" s="19">
        <f>D24*E24</f>
        <v>13.238094545454548</v>
      </c>
      <c r="H24" s="89"/>
    </row>
    <row r="25" spans="1:8">
      <c r="B25" s="2" t="s">
        <v>101</v>
      </c>
      <c r="C25" s="17">
        <f>(D6/D8)*D15</f>
        <v>190.07999999999998</v>
      </c>
      <c r="E25" s="69">
        <f>'Price List'!D7</f>
        <v>5.84</v>
      </c>
      <c r="F25" s="2" t="s">
        <v>45</v>
      </c>
      <c r="G25" s="19">
        <f>E25*C25</f>
        <v>1110.0672</v>
      </c>
      <c r="H25" s="89"/>
    </row>
    <row r="26" spans="1:8">
      <c r="B26" s="2" t="s">
        <v>102</v>
      </c>
      <c r="C26" s="11">
        <f>D6*D7</f>
        <v>10560</v>
      </c>
      <c r="D26" s="40">
        <f>C26/1320</f>
        <v>8</v>
      </c>
      <c r="E26" s="69">
        <f>'Price List'!C8</f>
        <v>129.3399</v>
      </c>
      <c r="F26" s="38" t="s">
        <v>103</v>
      </c>
      <c r="G26" s="19">
        <f>E26*D26</f>
        <v>1034.7192</v>
      </c>
      <c r="H26" s="89"/>
    </row>
    <row r="27" spans="1:8">
      <c r="C27" s="20" t="s">
        <v>60</v>
      </c>
      <c r="D27" s="9"/>
      <c r="E27" s="9"/>
      <c r="F27" s="9"/>
      <c r="G27" s="23">
        <f>SUM(G19:G26)</f>
        <v>2822.4782957150451</v>
      </c>
      <c r="H27" s="89"/>
    </row>
    <row r="28" spans="1:8">
      <c r="C28" s="20" t="s">
        <v>61</v>
      </c>
      <c r="D28" s="9"/>
      <c r="E28" s="9"/>
      <c r="F28" s="9"/>
      <c r="G28" s="22">
        <f>G27/$D$6</f>
        <v>1.0691205665587291</v>
      </c>
      <c r="H28" s="89"/>
    </row>
    <row r="29" spans="1:8">
      <c r="C29" s="20" t="s">
        <v>62</v>
      </c>
      <c r="D29" s="9"/>
      <c r="E29" s="9"/>
      <c r="F29" s="9"/>
      <c r="G29" s="23">
        <f>G28*1320</f>
        <v>1411.2391478575225</v>
      </c>
      <c r="H29" s="89"/>
    </row>
    <row r="30" spans="1:8">
      <c r="C30" s="20" t="s">
        <v>63</v>
      </c>
      <c r="D30" s="9"/>
      <c r="E30" s="9"/>
      <c r="F30" s="9"/>
      <c r="G30" s="23">
        <f>G27/$D$4</f>
        <v>17.640489348219031</v>
      </c>
      <c r="H30" s="89"/>
    </row>
    <row r="31" spans="1:8">
      <c r="H31" s="8"/>
    </row>
    <row r="32" spans="1:8">
      <c r="C32" s="90" t="s">
        <v>104</v>
      </c>
      <c r="D32" s="90"/>
      <c r="E32" s="90"/>
      <c r="F32" s="90"/>
      <c r="G32" s="41">
        <v>5</v>
      </c>
      <c r="H32" s="8"/>
    </row>
    <row r="33" spans="2:8">
      <c r="C33" s="90" t="s">
        <v>105</v>
      </c>
      <c r="D33" s="90"/>
      <c r="E33" s="90"/>
      <c r="F33" s="90"/>
      <c r="G33" s="42">
        <v>0.08</v>
      </c>
      <c r="H33" s="8"/>
    </row>
    <row r="34" spans="2:8">
      <c r="C34" s="90" t="s">
        <v>106</v>
      </c>
      <c r="D34" s="90"/>
      <c r="E34" s="90"/>
      <c r="F34" s="90"/>
      <c r="G34" s="43">
        <f>PMT(G33,G32,-G30)</f>
        <v>4.4181744189789844</v>
      </c>
      <c r="H34" s="8"/>
    </row>
    <row r="35" spans="2:8">
      <c r="B35" s="11"/>
      <c r="C35" s="87"/>
      <c r="D35" s="77"/>
      <c r="E35" s="77"/>
      <c r="F35" s="14"/>
      <c r="G35" s="14"/>
      <c r="H35" s="8"/>
    </row>
  </sheetData>
  <mergeCells count="18">
    <mergeCell ref="E8:H8"/>
    <mergeCell ref="A1:H1"/>
    <mergeCell ref="E4:H4"/>
    <mergeCell ref="E5:H5"/>
    <mergeCell ref="E6:H6"/>
    <mergeCell ref="E7:H7"/>
    <mergeCell ref="C35:E35"/>
    <mergeCell ref="E9:H9"/>
    <mergeCell ref="E10:H10"/>
    <mergeCell ref="E11:H11"/>
    <mergeCell ref="E12:H12"/>
    <mergeCell ref="E13:H13"/>
    <mergeCell ref="E14:H14"/>
    <mergeCell ref="E15:H15"/>
    <mergeCell ref="H19:H30"/>
    <mergeCell ref="C32:F32"/>
    <mergeCell ref="C33:F33"/>
    <mergeCell ref="C34:F34"/>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4E283E-07E4-469D-8488-3DB3CE36561E}">
  <dimension ref="A1:H35"/>
  <sheetViews>
    <sheetView topLeftCell="A8" workbookViewId="0">
      <selection activeCell="K24" sqref="K24"/>
    </sheetView>
  </sheetViews>
  <sheetFormatPr defaultRowHeight="14.4"/>
  <cols>
    <col min="1" max="1" width="4.6640625" customWidth="1"/>
    <col min="2" max="2" width="40.44140625" customWidth="1"/>
    <col min="5" max="5" width="11" customWidth="1"/>
    <col min="7" max="7" width="13.33203125" customWidth="1"/>
    <col min="8" max="8" width="36.33203125" customWidth="1"/>
  </cols>
  <sheetData>
    <row r="1" spans="1:8" ht="34.799999999999997" customHeight="1">
      <c r="A1" s="78" t="s">
        <v>177</v>
      </c>
      <c r="B1" s="79"/>
      <c r="C1" s="79"/>
      <c r="D1" s="79"/>
      <c r="E1" s="79"/>
      <c r="F1" s="79"/>
      <c r="G1" s="79"/>
      <c r="H1" s="80"/>
    </row>
    <row r="3" spans="1:8">
      <c r="A3" s="1" t="s">
        <v>0</v>
      </c>
    </row>
    <row r="4" spans="1:8">
      <c r="B4" s="2" t="s">
        <v>1</v>
      </c>
      <c r="D4" s="32">
        <v>160</v>
      </c>
      <c r="E4" s="74" t="s">
        <v>2</v>
      </c>
      <c r="F4" s="75"/>
      <c r="G4" s="75"/>
      <c r="H4" s="75"/>
    </row>
    <row r="5" spans="1:8">
      <c r="B5" s="2" t="s">
        <v>3</v>
      </c>
      <c r="D5" s="33">
        <v>1</v>
      </c>
      <c r="E5" s="74" t="s">
        <v>4</v>
      </c>
      <c r="F5" s="75"/>
      <c r="G5" s="75"/>
      <c r="H5" s="75"/>
    </row>
    <row r="6" spans="1:8">
      <c r="B6" s="2" t="s">
        <v>5</v>
      </c>
      <c r="D6" s="34">
        <v>2640</v>
      </c>
      <c r="E6" s="74" t="s">
        <v>6</v>
      </c>
      <c r="F6" s="75"/>
      <c r="G6" s="75"/>
      <c r="H6" s="75"/>
    </row>
    <row r="7" spans="1:8">
      <c r="B7" s="2" t="s">
        <v>91</v>
      </c>
      <c r="D7" s="33">
        <v>5</v>
      </c>
      <c r="E7" s="74" t="s">
        <v>8</v>
      </c>
      <c r="F7" s="75"/>
      <c r="G7" s="75"/>
      <c r="H7" s="75"/>
    </row>
    <row r="8" spans="1:8">
      <c r="B8" s="2" t="s">
        <v>11</v>
      </c>
      <c r="D8" s="35">
        <v>12.5</v>
      </c>
      <c r="E8" s="74" t="s">
        <v>12</v>
      </c>
      <c r="F8" s="75"/>
      <c r="G8" s="75"/>
      <c r="H8" s="75"/>
    </row>
    <row r="9" spans="1:8">
      <c r="B9" s="2" t="s">
        <v>92</v>
      </c>
      <c r="D9" s="33">
        <v>2</v>
      </c>
      <c r="E9" s="74" t="s">
        <v>93</v>
      </c>
      <c r="F9" s="75"/>
      <c r="G9" s="75"/>
      <c r="H9" s="75"/>
    </row>
    <row r="10" spans="1:8">
      <c r="B10" s="2" t="s">
        <v>19</v>
      </c>
      <c r="D10" s="33">
        <v>2</v>
      </c>
      <c r="E10" s="74" t="s">
        <v>20</v>
      </c>
      <c r="F10" s="75"/>
      <c r="G10" s="75"/>
      <c r="H10" s="75"/>
    </row>
    <row r="11" spans="1:8">
      <c r="B11" s="2" t="s">
        <v>21</v>
      </c>
      <c r="D11" s="33">
        <v>0</v>
      </c>
      <c r="E11" s="74" t="s">
        <v>22</v>
      </c>
      <c r="F11" s="75"/>
      <c r="G11" s="75"/>
      <c r="H11" s="75"/>
    </row>
    <row r="12" spans="1:8">
      <c r="B12" s="2" t="s">
        <v>94</v>
      </c>
      <c r="D12" s="36">
        <v>1</v>
      </c>
      <c r="E12" s="74" t="s">
        <v>24</v>
      </c>
      <c r="F12" s="75"/>
      <c r="G12" s="75"/>
      <c r="H12" s="75"/>
    </row>
    <row r="13" spans="1:8">
      <c r="B13" s="2" t="s">
        <v>25</v>
      </c>
      <c r="D13" s="33">
        <v>24</v>
      </c>
      <c r="E13" s="74" t="s">
        <v>26</v>
      </c>
      <c r="F13" s="75"/>
      <c r="G13" s="75"/>
      <c r="H13" s="75"/>
    </row>
    <row r="14" spans="1:8">
      <c r="B14" s="7" t="s">
        <v>95</v>
      </c>
      <c r="D14" s="37">
        <v>0.1</v>
      </c>
      <c r="E14" s="74" t="s">
        <v>36</v>
      </c>
      <c r="F14" s="75"/>
      <c r="G14" s="75"/>
      <c r="H14" s="75"/>
    </row>
    <row r="15" spans="1:8">
      <c r="B15" s="2" t="s">
        <v>96</v>
      </c>
      <c r="D15" s="37">
        <v>0.9</v>
      </c>
      <c r="E15" s="74" t="s">
        <v>36</v>
      </c>
      <c r="F15" s="75"/>
      <c r="G15" s="75"/>
      <c r="H15" s="75"/>
    </row>
    <row r="16" spans="1:8">
      <c r="H16" s="8"/>
    </row>
    <row r="17" spans="1:8">
      <c r="A17" s="1" t="s">
        <v>37</v>
      </c>
      <c r="H17" s="8"/>
    </row>
    <row r="18" spans="1:8" ht="27">
      <c r="A18" s="9" t="s">
        <v>38</v>
      </c>
      <c r="B18" s="9"/>
      <c r="C18" s="31" t="s">
        <v>39</v>
      </c>
      <c r="D18" s="9"/>
      <c r="E18" s="10" t="s">
        <v>40</v>
      </c>
      <c r="F18" s="9"/>
      <c r="G18" s="9"/>
      <c r="H18" s="8"/>
    </row>
    <row r="19" spans="1:8" ht="14.4" customHeight="1">
      <c r="B19" s="2" t="s">
        <v>110</v>
      </c>
      <c r="C19" s="11">
        <f>(D10*2)+(D11*3)</f>
        <v>4</v>
      </c>
      <c r="E19" s="69">
        <f>'Price List'!C3</f>
        <v>25</v>
      </c>
      <c r="F19" s="13" t="s">
        <v>45</v>
      </c>
      <c r="G19" s="19">
        <f t="shared" ref="G19:G22" si="0">E19*C19</f>
        <v>100</v>
      </c>
      <c r="H19" s="88" t="s">
        <v>192</v>
      </c>
    </row>
    <row r="20" spans="1:8">
      <c r="B20" s="2" t="s">
        <v>111</v>
      </c>
      <c r="C20" s="11">
        <f>(D9*D10*2)+(D9*D11*4)</f>
        <v>8</v>
      </c>
      <c r="E20" s="69">
        <f>'Price List'!C3</f>
        <v>25</v>
      </c>
      <c r="F20" s="13" t="s">
        <v>45</v>
      </c>
      <c r="G20" s="19">
        <f t="shared" si="0"/>
        <v>200</v>
      </c>
      <c r="H20" s="89"/>
    </row>
    <row r="21" spans="1:8">
      <c r="B21" s="2" t="s">
        <v>97</v>
      </c>
      <c r="C21" s="11">
        <f>C20</f>
        <v>8</v>
      </c>
      <c r="E21" s="69">
        <f>'Price List'!D4</f>
        <v>16</v>
      </c>
      <c r="F21" s="13" t="s">
        <v>45</v>
      </c>
      <c r="G21" s="19">
        <f t="shared" si="0"/>
        <v>128</v>
      </c>
      <c r="H21" s="89"/>
    </row>
    <row r="22" spans="1:8">
      <c r="B22" s="7" t="s">
        <v>98</v>
      </c>
      <c r="C22" s="11">
        <f>C21*20</f>
        <v>160</v>
      </c>
      <c r="E22" s="69">
        <f>'Price List'!D12</f>
        <v>0.15783625730994152</v>
      </c>
      <c r="F22" s="38" t="s">
        <v>47</v>
      </c>
      <c r="G22" s="19">
        <f t="shared" si="0"/>
        <v>25.253801169590645</v>
      </c>
      <c r="H22" s="89"/>
    </row>
    <row r="23" spans="1:8">
      <c r="B23" s="2" t="s">
        <v>99</v>
      </c>
      <c r="C23" s="11">
        <f>(D6/D8)*D14</f>
        <v>21.12</v>
      </c>
      <c r="E23" s="69">
        <f>'Price List'!C6</f>
        <v>10</v>
      </c>
      <c r="F23" s="2" t="s">
        <v>45</v>
      </c>
      <c r="G23" s="19">
        <f>E23*C23</f>
        <v>211.20000000000002</v>
      </c>
      <c r="H23" s="89"/>
    </row>
    <row r="24" spans="1:8">
      <c r="B24" s="2" t="s">
        <v>100</v>
      </c>
      <c r="C24" s="11">
        <f>((C23+C19+C20)*D7)+50</f>
        <v>215.60000000000002</v>
      </c>
      <c r="D24" s="39">
        <f>C24/55</f>
        <v>3.9200000000000004</v>
      </c>
      <c r="E24" s="69">
        <f>'Price List'!C13</f>
        <v>3.99</v>
      </c>
      <c r="F24" s="2" t="s">
        <v>45</v>
      </c>
      <c r="G24" s="19">
        <f>D24*E24</f>
        <v>15.640800000000002</v>
      </c>
      <c r="H24" s="89"/>
    </row>
    <row r="25" spans="1:8">
      <c r="B25" s="2" t="s">
        <v>101</v>
      </c>
      <c r="C25" s="17">
        <f>(D6/D8)*D15</f>
        <v>190.07999999999998</v>
      </c>
      <c r="E25" s="69">
        <f>'Price List'!D7</f>
        <v>5.84</v>
      </c>
      <c r="F25" s="2" t="s">
        <v>45</v>
      </c>
      <c r="G25" s="19">
        <f>E25*C25</f>
        <v>1110.0672</v>
      </c>
      <c r="H25" s="89"/>
    </row>
    <row r="26" spans="1:8">
      <c r="B26" s="2" t="s">
        <v>102</v>
      </c>
      <c r="C26" s="11">
        <f>D6*D7</f>
        <v>13200</v>
      </c>
      <c r="D26" s="40">
        <f>C26/1320</f>
        <v>10</v>
      </c>
      <c r="E26" s="69">
        <f>'Price List'!C8</f>
        <v>129.3399</v>
      </c>
      <c r="F26" s="38" t="s">
        <v>103</v>
      </c>
      <c r="G26" s="19">
        <f>E26*D26</f>
        <v>1293.3989999999999</v>
      </c>
      <c r="H26" s="89"/>
    </row>
    <row r="27" spans="1:8">
      <c r="C27" s="20" t="s">
        <v>60</v>
      </c>
      <c r="D27" s="9"/>
      <c r="E27" s="9"/>
      <c r="F27" s="9"/>
      <c r="G27" s="23">
        <f>SUM(G19:G26)</f>
        <v>3083.5608011695904</v>
      </c>
      <c r="H27" s="89"/>
    </row>
    <row r="28" spans="1:8">
      <c r="C28" s="20" t="s">
        <v>61</v>
      </c>
      <c r="D28" s="9"/>
      <c r="E28" s="9"/>
      <c r="F28" s="9"/>
      <c r="G28" s="22">
        <f>G27/$D$6</f>
        <v>1.1680154549884811</v>
      </c>
      <c r="H28" s="89"/>
    </row>
    <row r="29" spans="1:8">
      <c r="C29" s="20" t="s">
        <v>62</v>
      </c>
      <c r="D29" s="9"/>
      <c r="E29" s="9"/>
      <c r="F29" s="9"/>
      <c r="G29" s="23">
        <f>G28*1320</f>
        <v>1541.7804005847952</v>
      </c>
      <c r="H29" s="89"/>
    </row>
    <row r="30" spans="1:8">
      <c r="C30" s="20" t="s">
        <v>63</v>
      </c>
      <c r="D30" s="9"/>
      <c r="E30" s="9"/>
      <c r="F30" s="9"/>
      <c r="G30" s="23">
        <f>G27/$D$4</f>
        <v>19.272255007309941</v>
      </c>
      <c r="H30" s="89"/>
    </row>
    <row r="31" spans="1:8">
      <c r="H31" s="8"/>
    </row>
    <row r="32" spans="1:8">
      <c r="C32" s="90" t="s">
        <v>104</v>
      </c>
      <c r="D32" s="90"/>
      <c r="E32" s="90"/>
      <c r="F32" s="90"/>
      <c r="G32" s="41">
        <v>5</v>
      </c>
      <c r="H32" s="8"/>
    </row>
    <row r="33" spans="2:8">
      <c r="C33" s="90" t="s">
        <v>105</v>
      </c>
      <c r="D33" s="90"/>
      <c r="E33" s="90"/>
      <c r="F33" s="90"/>
      <c r="G33" s="42">
        <v>0.08</v>
      </c>
      <c r="H33" s="8"/>
    </row>
    <row r="34" spans="2:8">
      <c r="C34" s="90" t="s">
        <v>106</v>
      </c>
      <c r="D34" s="90"/>
      <c r="E34" s="90"/>
      <c r="F34" s="90"/>
      <c r="G34" s="43">
        <f>PMT(G33,G32,-G30)</f>
        <v>4.8268606606388111</v>
      </c>
      <c r="H34" s="8"/>
    </row>
    <row r="35" spans="2:8">
      <c r="B35" s="11"/>
      <c r="C35" s="87"/>
      <c r="D35" s="77"/>
      <c r="E35" s="77"/>
      <c r="F35" s="14"/>
      <c r="G35" s="14"/>
      <c r="H35" s="8"/>
    </row>
  </sheetData>
  <mergeCells count="18">
    <mergeCell ref="E8:H8"/>
    <mergeCell ref="A1:H1"/>
    <mergeCell ref="E4:H4"/>
    <mergeCell ref="E5:H5"/>
    <mergeCell ref="E6:H6"/>
    <mergeCell ref="E7:H7"/>
    <mergeCell ref="C35:E35"/>
    <mergeCell ref="E9:H9"/>
    <mergeCell ref="E10:H10"/>
    <mergeCell ref="E11:H11"/>
    <mergeCell ref="E12:H12"/>
    <mergeCell ref="E13:H13"/>
    <mergeCell ref="E14:H14"/>
    <mergeCell ref="E15:H15"/>
    <mergeCell ref="H19:H30"/>
    <mergeCell ref="C32:F32"/>
    <mergeCell ref="C33:F33"/>
    <mergeCell ref="C34:F34"/>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454B5E-023A-4036-876A-18C5CF34A38E}">
  <dimension ref="A1:H35"/>
  <sheetViews>
    <sheetView topLeftCell="A3" workbookViewId="0">
      <selection activeCell="D19" sqref="D19:E26"/>
    </sheetView>
  </sheetViews>
  <sheetFormatPr defaultRowHeight="14.4"/>
  <cols>
    <col min="1" max="1" width="4.6640625" customWidth="1"/>
    <col min="2" max="2" width="40.44140625" customWidth="1"/>
    <col min="5" max="5" width="11" customWidth="1"/>
    <col min="7" max="7" width="13.33203125" customWidth="1"/>
    <col min="8" max="8" width="36.33203125" customWidth="1"/>
  </cols>
  <sheetData>
    <row r="1" spans="1:8" ht="34.799999999999997" customHeight="1">
      <c r="A1" s="78" t="s">
        <v>176</v>
      </c>
      <c r="B1" s="79"/>
      <c r="C1" s="79"/>
      <c r="D1" s="79"/>
      <c r="E1" s="79"/>
      <c r="F1" s="79"/>
      <c r="G1" s="79"/>
      <c r="H1" s="80"/>
    </row>
    <row r="3" spans="1:8">
      <c r="A3" s="1" t="s">
        <v>0</v>
      </c>
    </row>
    <row r="4" spans="1:8">
      <c r="B4" s="2" t="s">
        <v>1</v>
      </c>
      <c r="D4" s="32">
        <v>160</v>
      </c>
      <c r="E4" s="74" t="s">
        <v>2</v>
      </c>
      <c r="F4" s="75"/>
      <c r="G4" s="75"/>
      <c r="H4" s="75"/>
    </row>
    <row r="5" spans="1:8">
      <c r="B5" s="2" t="s">
        <v>3</v>
      </c>
      <c r="D5" s="33">
        <v>1</v>
      </c>
      <c r="E5" s="74" t="s">
        <v>4</v>
      </c>
      <c r="F5" s="75"/>
      <c r="G5" s="75"/>
      <c r="H5" s="75"/>
    </row>
    <row r="6" spans="1:8">
      <c r="B6" s="2" t="s">
        <v>5</v>
      </c>
      <c r="D6" s="34">
        <v>2640</v>
      </c>
      <c r="E6" s="74" t="s">
        <v>6</v>
      </c>
      <c r="F6" s="75"/>
      <c r="G6" s="75"/>
      <c r="H6" s="75"/>
    </row>
    <row r="7" spans="1:8">
      <c r="B7" s="2" t="s">
        <v>91</v>
      </c>
      <c r="D7" s="33">
        <v>3</v>
      </c>
      <c r="E7" s="74" t="s">
        <v>8</v>
      </c>
      <c r="F7" s="75"/>
      <c r="G7" s="75"/>
      <c r="H7" s="75"/>
    </row>
    <row r="8" spans="1:8">
      <c r="B8" s="2" t="s">
        <v>11</v>
      </c>
      <c r="D8" s="35">
        <v>20</v>
      </c>
      <c r="E8" s="74" t="s">
        <v>12</v>
      </c>
      <c r="F8" s="75"/>
      <c r="G8" s="75"/>
      <c r="H8" s="75"/>
    </row>
    <row r="9" spans="1:8">
      <c r="B9" s="2" t="s">
        <v>92</v>
      </c>
      <c r="D9" s="33">
        <v>2</v>
      </c>
      <c r="E9" s="74" t="s">
        <v>93</v>
      </c>
      <c r="F9" s="75"/>
      <c r="G9" s="75"/>
      <c r="H9" s="75"/>
    </row>
    <row r="10" spans="1:8">
      <c r="B10" s="2" t="s">
        <v>19</v>
      </c>
      <c r="D10" s="33">
        <v>2</v>
      </c>
      <c r="E10" s="74" t="s">
        <v>20</v>
      </c>
      <c r="F10" s="75"/>
      <c r="G10" s="75"/>
      <c r="H10" s="75"/>
    </row>
    <row r="11" spans="1:8">
      <c r="B11" s="2" t="s">
        <v>21</v>
      </c>
      <c r="D11" s="33">
        <v>0</v>
      </c>
      <c r="E11" s="74" t="s">
        <v>22</v>
      </c>
      <c r="F11" s="75"/>
      <c r="G11" s="75"/>
      <c r="H11" s="75"/>
    </row>
    <row r="12" spans="1:8">
      <c r="B12" s="2" t="s">
        <v>94</v>
      </c>
      <c r="D12" s="36">
        <v>0</v>
      </c>
      <c r="E12" s="74" t="s">
        <v>24</v>
      </c>
      <c r="F12" s="75"/>
      <c r="G12" s="75"/>
      <c r="H12" s="75"/>
    </row>
    <row r="13" spans="1:8">
      <c r="B13" s="2" t="s">
        <v>25</v>
      </c>
      <c r="D13" s="33">
        <v>24</v>
      </c>
      <c r="E13" s="74" t="s">
        <v>26</v>
      </c>
      <c r="F13" s="75"/>
      <c r="G13" s="75"/>
      <c r="H13" s="75"/>
    </row>
    <row r="14" spans="1:8">
      <c r="B14" s="7" t="s">
        <v>95</v>
      </c>
      <c r="D14" s="37">
        <v>0.1</v>
      </c>
      <c r="E14" s="74" t="s">
        <v>36</v>
      </c>
      <c r="F14" s="75"/>
      <c r="G14" s="75"/>
      <c r="H14" s="75"/>
    </row>
    <row r="15" spans="1:8">
      <c r="B15" s="2" t="s">
        <v>96</v>
      </c>
      <c r="D15" s="37">
        <v>0.9</v>
      </c>
      <c r="E15" s="74" t="s">
        <v>36</v>
      </c>
      <c r="F15" s="75"/>
      <c r="G15" s="75"/>
      <c r="H15" s="75"/>
    </row>
    <row r="16" spans="1:8">
      <c r="H16" s="8"/>
    </row>
    <row r="17" spans="1:8">
      <c r="A17" s="1" t="s">
        <v>37</v>
      </c>
      <c r="H17" s="8"/>
    </row>
    <row r="18" spans="1:8" ht="27">
      <c r="A18" s="9" t="s">
        <v>38</v>
      </c>
      <c r="B18" s="9"/>
      <c r="C18" s="31" t="s">
        <v>39</v>
      </c>
      <c r="D18" s="9"/>
      <c r="E18" s="10" t="s">
        <v>40</v>
      </c>
      <c r="F18" s="9"/>
      <c r="G18" s="9"/>
      <c r="H18" s="8"/>
    </row>
    <row r="19" spans="1:8" ht="14.4" customHeight="1">
      <c r="B19" s="2" t="s">
        <v>108</v>
      </c>
      <c r="C19" s="11">
        <f>(D10*2)+(D11*3)</f>
        <v>4</v>
      </c>
      <c r="E19" s="69">
        <f>'Price List'!C3</f>
        <v>25</v>
      </c>
      <c r="F19" s="13" t="s">
        <v>45</v>
      </c>
      <c r="G19" s="19">
        <f t="shared" ref="G19:G22" si="0">E19*C19</f>
        <v>100</v>
      </c>
      <c r="H19" s="88" t="s">
        <v>192</v>
      </c>
    </row>
    <row r="20" spans="1:8">
      <c r="B20" s="2" t="s">
        <v>109</v>
      </c>
      <c r="C20" s="11">
        <f>(D9*D10*2)+(D9*D11*4)</f>
        <v>8</v>
      </c>
      <c r="E20" s="69">
        <f>'Price List'!C3</f>
        <v>25</v>
      </c>
      <c r="F20" s="13" t="s">
        <v>45</v>
      </c>
      <c r="G20" s="19">
        <f t="shared" si="0"/>
        <v>200</v>
      </c>
      <c r="H20" s="89"/>
    </row>
    <row r="21" spans="1:8">
      <c r="B21" s="2" t="s">
        <v>97</v>
      </c>
      <c r="C21" s="11">
        <f>C20</f>
        <v>8</v>
      </c>
      <c r="E21" s="69">
        <f>'Price List'!D4</f>
        <v>16</v>
      </c>
      <c r="F21" s="13" t="s">
        <v>45</v>
      </c>
      <c r="G21" s="19">
        <f t="shared" si="0"/>
        <v>128</v>
      </c>
      <c r="H21" s="89"/>
    </row>
    <row r="22" spans="1:8">
      <c r="B22" s="7" t="s">
        <v>98</v>
      </c>
      <c r="C22" s="11">
        <f>C21*20</f>
        <v>160</v>
      </c>
      <c r="E22" s="69">
        <f>'Price List'!D12</f>
        <v>0.15783625730994152</v>
      </c>
      <c r="F22" s="38" t="s">
        <v>47</v>
      </c>
      <c r="G22" s="19">
        <f t="shared" si="0"/>
        <v>25.253801169590645</v>
      </c>
      <c r="H22" s="89"/>
    </row>
    <row r="23" spans="1:8">
      <c r="B23" s="2" t="s">
        <v>107</v>
      </c>
      <c r="C23" s="11">
        <f>(D6/D8)*D14</f>
        <v>13.200000000000001</v>
      </c>
      <c r="E23" s="69">
        <f>'Price List'!C6</f>
        <v>10</v>
      </c>
      <c r="F23" s="2" t="s">
        <v>45</v>
      </c>
      <c r="G23" s="19">
        <f>E23*C23</f>
        <v>132</v>
      </c>
      <c r="H23" s="89"/>
    </row>
    <row r="24" spans="1:8">
      <c r="B24" s="2" t="s">
        <v>100</v>
      </c>
      <c r="C24" s="11">
        <f>((C23+C19+C20)*D7)+50</f>
        <v>125.60000000000001</v>
      </c>
      <c r="D24" s="39">
        <f>C24/55</f>
        <v>2.2836363636363637</v>
      </c>
      <c r="E24" s="69">
        <f>'Price List'!C13</f>
        <v>3.99</v>
      </c>
      <c r="F24" s="2" t="s">
        <v>45</v>
      </c>
      <c r="G24" s="19">
        <f>D24*E24</f>
        <v>9.1117090909090912</v>
      </c>
      <c r="H24" s="89"/>
    </row>
    <row r="25" spans="1:8">
      <c r="B25" s="2" t="s">
        <v>101</v>
      </c>
      <c r="C25" s="17">
        <f>(D6/D8)*D15</f>
        <v>118.8</v>
      </c>
      <c r="E25" s="69">
        <f>'Price List'!D7</f>
        <v>5.84</v>
      </c>
      <c r="F25" s="2" t="s">
        <v>45</v>
      </c>
      <c r="G25" s="19">
        <f>E25*C25</f>
        <v>693.79199999999992</v>
      </c>
      <c r="H25" s="89"/>
    </row>
    <row r="26" spans="1:8">
      <c r="B26" s="2" t="s">
        <v>217</v>
      </c>
      <c r="C26" s="11">
        <f>D6*D7</f>
        <v>7920</v>
      </c>
      <c r="D26" s="40">
        <f>C26/1320</f>
        <v>6</v>
      </c>
      <c r="E26" s="69">
        <f>'Price List'!C9</f>
        <v>84.99</v>
      </c>
      <c r="F26" s="38" t="s">
        <v>103</v>
      </c>
      <c r="G26" s="19">
        <f>E26*D26</f>
        <v>509.93999999999994</v>
      </c>
      <c r="H26" s="89"/>
    </row>
    <row r="27" spans="1:8">
      <c r="C27" s="20" t="s">
        <v>60</v>
      </c>
      <c r="D27" s="9"/>
      <c r="E27" s="9"/>
      <c r="F27" s="9"/>
      <c r="G27" s="23">
        <f>SUM(G19:G26)</f>
        <v>1798.0975102604998</v>
      </c>
      <c r="H27" s="89"/>
    </row>
    <row r="28" spans="1:8">
      <c r="C28" s="20" t="s">
        <v>61</v>
      </c>
      <c r="D28" s="9"/>
      <c r="E28" s="9"/>
      <c r="F28" s="9"/>
      <c r="G28" s="22">
        <f>G27/$D$6</f>
        <v>0.68109754176534087</v>
      </c>
      <c r="H28" s="89"/>
    </row>
    <row r="29" spans="1:8">
      <c r="C29" s="20" t="s">
        <v>62</v>
      </c>
      <c r="D29" s="9"/>
      <c r="E29" s="9"/>
      <c r="F29" s="9"/>
      <c r="G29" s="23">
        <f>G28*1320</f>
        <v>899.0487551302499</v>
      </c>
      <c r="H29" s="89"/>
    </row>
    <row r="30" spans="1:8">
      <c r="C30" s="20" t="s">
        <v>63</v>
      </c>
      <c r="D30" s="9"/>
      <c r="E30" s="9"/>
      <c r="F30" s="9"/>
      <c r="G30" s="23">
        <f>G27/$D$4</f>
        <v>11.238109439128124</v>
      </c>
      <c r="H30" s="89"/>
    </row>
    <row r="31" spans="1:8">
      <c r="H31" s="8"/>
    </row>
    <row r="32" spans="1:8">
      <c r="C32" s="90" t="s">
        <v>104</v>
      </c>
      <c r="D32" s="90"/>
      <c r="E32" s="90"/>
      <c r="F32" s="90"/>
      <c r="G32" s="41">
        <v>5</v>
      </c>
      <c r="H32" s="8"/>
    </row>
    <row r="33" spans="2:8">
      <c r="C33" s="90" t="s">
        <v>105</v>
      </c>
      <c r="D33" s="90"/>
      <c r="E33" s="90"/>
      <c r="F33" s="90"/>
      <c r="G33" s="42">
        <v>0.08</v>
      </c>
      <c r="H33" s="8"/>
    </row>
    <row r="34" spans="2:8">
      <c r="C34" s="90" t="s">
        <v>106</v>
      </c>
      <c r="D34" s="90"/>
      <c r="E34" s="90"/>
      <c r="F34" s="90"/>
      <c r="G34" s="43">
        <f>PMT(G33,G32,-G30)</f>
        <v>2.8146570461581302</v>
      </c>
      <c r="H34" s="8"/>
    </row>
    <row r="35" spans="2:8">
      <c r="B35" s="11"/>
      <c r="C35" s="87"/>
      <c r="D35" s="77"/>
      <c r="E35" s="77"/>
      <c r="F35" s="14"/>
      <c r="G35" s="14"/>
      <c r="H35" s="8"/>
    </row>
  </sheetData>
  <mergeCells count="18">
    <mergeCell ref="E8:H8"/>
    <mergeCell ref="A1:H1"/>
    <mergeCell ref="E4:H4"/>
    <mergeCell ref="E5:H5"/>
    <mergeCell ref="E6:H6"/>
    <mergeCell ref="E7:H7"/>
    <mergeCell ref="C35:E35"/>
    <mergeCell ref="E9:H9"/>
    <mergeCell ref="E10:H10"/>
    <mergeCell ref="E11:H11"/>
    <mergeCell ref="E12:H12"/>
    <mergeCell ref="E13:H13"/>
    <mergeCell ref="E14:H14"/>
    <mergeCell ref="E15:H15"/>
    <mergeCell ref="H19:H30"/>
    <mergeCell ref="C32:F32"/>
    <mergeCell ref="C33:F33"/>
    <mergeCell ref="C34:F34"/>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CCBACE-C9BD-47BB-9493-B273BF1C948D}">
  <dimension ref="A1:H35"/>
  <sheetViews>
    <sheetView topLeftCell="A3" workbookViewId="0">
      <selection activeCell="D19" sqref="D19:E26"/>
    </sheetView>
  </sheetViews>
  <sheetFormatPr defaultRowHeight="14.4"/>
  <cols>
    <col min="1" max="1" width="4.6640625" customWidth="1"/>
    <col min="2" max="2" width="40.44140625" customWidth="1"/>
    <col min="5" max="5" width="11" customWidth="1"/>
    <col min="7" max="7" width="13.33203125" customWidth="1"/>
    <col min="8" max="8" width="36.33203125" customWidth="1"/>
  </cols>
  <sheetData>
    <row r="1" spans="1:8" ht="34.799999999999997" customHeight="1">
      <c r="A1" s="78" t="s">
        <v>175</v>
      </c>
      <c r="B1" s="79"/>
      <c r="C1" s="79"/>
      <c r="D1" s="79"/>
      <c r="E1" s="79"/>
      <c r="F1" s="79"/>
      <c r="G1" s="79"/>
      <c r="H1" s="80"/>
    </row>
    <row r="3" spans="1:8">
      <c r="A3" s="1" t="s">
        <v>0</v>
      </c>
    </row>
    <row r="4" spans="1:8">
      <c r="B4" s="2" t="s">
        <v>1</v>
      </c>
      <c r="D4" s="32">
        <v>160</v>
      </c>
      <c r="E4" s="74" t="s">
        <v>2</v>
      </c>
      <c r="F4" s="75"/>
      <c r="G4" s="75"/>
      <c r="H4" s="75"/>
    </row>
    <row r="5" spans="1:8">
      <c r="B5" s="2" t="s">
        <v>3</v>
      </c>
      <c r="D5" s="33">
        <v>1</v>
      </c>
      <c r="E5" s="74" t="s">
        <v>4</v>
      </c>
      <c r="F5" s="75"/>
      <c r="G5" s="75"/>
      <c r="H5" s="75"/>
    </row>
    <row r="6" spans="1:8">
      <c r="B6" s="2" t="s">
        <v>5</v>
      </c>
      <c r="D6" s="34">
        <v>2640</v>
      </c>
      <c r="E6" s="74" t="s">
        <v>6</v>
      </c>
      <c r="F6" s="75"/>
      <c r="G6" s="75"/>
      <c r="H6" s="75"/>
    </row>
    <row r="7" spans="1:8">
      <c r="B7" s="2" t="s">
        <v>91</v>
      </c>
      <c r="D7" s="33">
        <v>4</v>
      </c>
      <c r="E7" s="74" t="s">
        <v>8</v>
      </c>
      <c r="F7" s="75"/>
      <c r="G7" s="75"/>
      <c r="H7" s="75"/>
    </row>
    <row r="8" spans="1:8">
      <c r="B8" s="2" t="s">
        <v>11</v>
      </c>
      <c r="D8" s="35">
        <v>20</v>
      </c>
      <c r="E8" s="74" t="s">
        <v>12</v>
      </c>
      <c r="F8" s="75"/>
      <c r="G8" s="75"/>
      <c r="H8" s="75"/>
    </row>
    <row r="9" spans="1:8">
      <c r="B9" s="2" t="s">
        <v>92</v>
      </c>
      <c r="D9" s="33">
        <v>2</v>
      </c>
      <c r="E9" s="74" t="s">
        <v>93</v>
      </c>
      <c r="F9" s="75"/>
      <c r="G9" s="75"/>
      <c r="H9" s="75"/>
    </row>
    <row r="10" spans="1:8">
      <c r="B10" s="2" t="s">
        <v>19</v>
      </c>
      <c r="D10" s="33">
        <v>2</v>
      </c>
      <c r="E10" s="74" t="s">
        <v>20</v>
      </c>
      <c r="F10" s="75"/>
      <c r="G10" s="75"/>
      <c r="H10" s="75"/>
    </row>
    <row r="11" spans="1:8">
      <c r="B11" s="2" t="s">
        <v>21</v>
      </c>
      <c r="D11" s="33">
        <v>0</v>
      </c>
      <c r="E11" s="74" t="s">
        <v>22</v>
      </c>
      <c r="F11" s="75"/>
      <c r="G11" s="75"/>
      <c r="H11" s="75"/>
    </row>
    <row r="12" spans="1:8">
      <c r="B12" s="2" t="s">
        <v>94</v>
      </c>
      <c r="D12" s="36">
        <v>0</v>
      </c>
      <c r="E12" s="74" t="s">
        <v>24</v>
      </c>
      <c r="F12" s="75"/>
      <c r="G12" s="75"/>
      <c r="H12" s="75"/>
    </row>
    <row r="13" spans="1:8">
      <c r="B13" s="2" t="s">
        <v>25</v>
      </c>
      <c r="D13" s="33">
        <v>24</v>
      </c>
      <c r="E13" s="74" t="s">
        <v>26</v>
      </c>
      <c r="F13" s="75"/>
      <c r="G13" s="75"/>
      <c r="H13" s="75"/>
    </row>
    <row r="14" spans="1:8">
      <c r="B14" s="7" t="s">
        <v>95</v>
      </c>
      <c r="D14" s="37">
        <v>0.1</v>
      </c>
      <c r="E14" s="74" t="s">
        <v>36</v>
      </c>
      <c r="F14" s="75"/>
      <c r="G14" s="75"/>
      <c r="H14" s="75"/>
    </row>
    <row r="15" spans="1:8">
      <c r="B15" s="2" t="s">
        <v>96</v>
      </c>
      <c r="D15" s="37">
        <v>0.9</v>
      </c>
      <c r="E15" s="74" t="s">
        <v>36</v>
      </c>
      <c r="F15" s="75"/>
      <c r="G15" s="75"/>
      <c r="H15" s="75"/>
    </row>
    <row r="16" spans="1:8">
      <c r="H16" s="8"/>
    </row>
    <row r="17" spans="1:8">
      <c r="A17" s="1" t="s">
        <v>37</v>
      </c>
      <c r="H17" s="8"/>
    </row>
    <row r="18" spans="1:8" ht="27">
      <c r="A18" s="9" t="s">
        <v>38</v>
      </c>
      <c r="B18" s="9"/>
      <c r="C18" s="31" t="s">
        <v>39</v>
      </c>
      <c r="D18" s="9"/>
      <c r="E18" s="10" t="s">
        <v>40</v>
      </c>
      <c r="F18" s="9"/>
      <c r="G18" s="9"/>
      <c r="H18" s="8"/>
    </row>
    <row r="19" spans="1:8" ht="14.4" customHeight="1">
      <c r="B19" s="2" t="s">
        <v>108</v>
      </c>
      <c r="C19" s="11">
        <f>(D10*2)+(D11*3)</f>
        <v>4</v>
      </c>
      <c r="E19" s="69">
        <f>'Price List'!C3</f>
        <v>25</v>
      </c>
      <c r="F19" s="13" t="s">
        <v>45</v>
      </c>
      <c r="G19" s="19">
        <f t="shared" ref="G19:G22" si="0">E19*C19</f>
        <v>100</v>
      </c>
      <c r="H19" s="88" t="s">
        <v>192</v>
      </c>
    </row>
    <row r="20" spans="1:8">
      <c r="B20" s="2" t="s">
        <v>109</v>
      </c>
      <c r="C20" s="11">
        <f>(D9*D10*2)+(D9*D11*4)</f>
        <v>8</v>
      </c>
      <c r="E20" s="69">
        <f>'Price List'!C3</f>
        <v>25</v>
      </c>
      <c r="F20" s="13" t="s">
        <v>45</v>
      </c>
      <c r="G20" s="19">
        <f t="shared" si="0"/>
        <v>200</v>
      </c>
      <c r="H20" s="89"/>
    </row>
    <row r="21" spans="1:8">
      <c r="B21" s="2" t="s">
        <v>97</v>
      </c>
      <c r="C21" s="11">
        <f>C20</f>
        <v>8</v>
      </c>
      <c r="E21" s="69">
        <f>'Price List'!D4</f>
        <v>16</v>
      </c>
      <c r="F21" s="13" t="s">
        <v>45</v>
      </c>
      <c r="G21" s="19">
        <f t="shared" si="0"/>
        <v>128</v>
      </c>
      <c r="H21" s="89"/>
    </row>
    <row r="22" spans="1:8">
      <c r="B22" s="7" t="s">
        <v>98</v>
      </c>
      <c r="C22" s="11">
        <f>C21*20</f>
        <v>160</v>
      </c>
      <c r="E22" s="69">
        <f>'Price List'!D12</f>
        <v>0.15783625730994152</v>
      </c>
      <c r="F22" s="38" t="s">
        <v>47</v>
      </c>
      <c r="G22" s="19">
        <f t="shared" si="0"/>
        <v>25.253801169590645</v>
      </c>
      <c r="H22" s="89"/>
    </row>
    <row r="23" spans="1:8">
      <c r="B23" s="2" t="s">
        <v>107</v>
      </c>
      <c r="C23" s="11">
        <f>(D6/D8)*D14</f>
        <v>13.200000000000001</v>
      </c>
      <c r="E23" s="69">
        <f>'Price List'!C6</f>
        <v>10</v>
      </c>
      <c r="F23" s="2" t="s">
        <v>45</v>
      </c>
      <c r="G23" s="19">
        <f>E23*C23</f>
        <v>132</v>
      </c>
      <c r="H23" s="89"/>
    </row>
    <row r="24" spans="1:8">
      <c r="B24" s="2" t="s">
        <v>100</v>
      </c>
      <c r="C24" s="11">
        <f>((C23+C19+C20)*D7)+50</f>
        <v>150.80000000000001</v>
      </c>
      <c r="D24" s="39">
        <f>C24/55</f>
        <v>2.7418181818181822</v>
      </c>
      <c r="E24" s="69">
        <f>'Price List'!C13</f>
        <v>3.99</v>
      </c>
      <c r="F24" s="2" t="s">
        <v>45</v>
      </c>
      <c r="G24" s="19">
        <f>D24*E24</f>
        <v>10.939854545454548</v>
      </c>
      <c r="H24" s="89"/>
    </row>
    <row r="25" spans="1:8">
      <c r="B25" s="2" t="s">
        <v>101</v>
      </c>
      <c r="C25" s="17">
        <f>(D6/D8)*D15</f>
        <v>118.8</v>
      </c>
      <c r="E25" s="69">
        <f>'Price List'!D7</f>
        <v>5.84</v>
      </c>
      <c r="F25" s="2" t="s">
        <v>45</v>
      </c>
      <c r="G25" s="19">
        <f>E25*C25</f>
        <v>693.79199999999992</v>
      </c>
      <c r="H25" s="89"/>
    </row>
    <row r="26" spans="1:8">
      <c r="B26" s="2" t="s">
        <v>102</v>
      </c>
      <c r="C26" s="11">
        <f>D6*D7</f>
        <v>10560</v>
      </c>
      <c r="D26" s="40">
        <f>C26/1320</f>
        <v>8</v>
      </c>
      <c r="E26" s="69">
        <f>'Price List'!C9</f>
        <v>84.99</v>
      </c>
      <c r="F26" s="38" t="s">
        <v>103</v>
      </c>
      <c r="G26" s="19">
        <f>E26*D26</f>
        <v>679.92</v>
      </c>
      <c r="H26" s="89"/>
    </row>
    <row r="27" spans="1:8">
      <c r="C27" s="20" t="s">
        <v>60</v>
      </c>
      <c r="D27" s="9"/>
      <c r="E27" s="9"/>
      <c r="F27" s="9"/>
      <c r="G27" s="23">
        <f>SUM(G19:G26)</f>
        <v>1969.9056557150452</v>
      </c>
      <c r="H27" s="89"/>
    </row>
    <row r="28" spans="1:8">
      <c r="C28" s="20" t="s">
        <v>61</v>
      </c>
      <c r="D28" s="9"/>
      <c r="E28" s="9"/>
      <c r="F28" s="9"/>
      <c r="G28" s="22">
        <f>G27/$D$6</f>
        <v>0.74617638474054748</v>
      </c>
      <c r="H28" s="89"/>
    </row>
    <row r="29" spans="1:8">
      <c r="C29" s="20" t="s">
        <v>62</v>
      </c>
      <c r="D29" s="9"/>
      <c r="E29" s="9"/>
      <c r="F29" s="9"/>
      <c r="G29" s="23">
        <f>G28*1320</f>
        <v>984.95282785752272</v>
      </c>
      <c r="H29" s="89"/>
    </row>
    <row r="30" spans="1:8">
      <c r="C30" s="20" t="s">
        <v>63</v>
      </c>
      <c r="D30" s="9"/>
      <c r="E30" s="9"/>
      <c r="F30" s="9"/>
      <c r="G30" s="23">
        <f>G27/$D$4</f>
        <v>12.311910348219033</v>
      </c>
      <c r="H30" s="89"/>
    </row>
    <row r="31" spans="1:8">
      <c r="H31" s="8"/>
    </row>
    <row r="32" spans="1:8">
      <c r="C32" s="90" t="s">
        <v>104</v>
      </c>
      <c r="D32" s="90"/>
      <c r="E32" s="90"/>
      <c r="F32" s="90"/>
      <c r="G32" s="41">
        <v>5</v>
      </c>
      <c r="H32" s="8"/>
    </row>
    <row r="33" spans="2:8">
      <c r="C33" s="90" t="s">
        <v>105</v>
      </c>
      <c r="D33" s="90"/>
      <c r="E33" s="90"/>
      <c r="F33" s="90"/>
      <c r="G33" s="42">
        <v>0.08</v>
      </c>
      <c r="H33" s="8"/>
    </row>
    <row r="34" spans="2:8">
      <c r="C34" s="90" t="s">
        <v>106</v>
      </c>
      <c r="D34" s="90"/>
      <c r="E34" s="90"/>
      <c r="F34" s="90"/>
      <c r="G34" s="43">
        <f>PMT(G33,G32,-G30)</f>
        <v>3.0835974147596859</v>
      </c>
      <c r="H34" s="8"/>
    </row>
    <row r="35" spans="2:8">
      <c r="B35" s="11"/>
      <c r="C35" s="87"/>
      <c r="D35" s="77"/>
      <c r="E35" s="77"/>
      <c r="F35" s="14"/>
      <c r="G35" s="14"/>
      <c r="H35" s="8"/>
    </row>
  </sheetData>
  <mergeCells count="18">
    <mergeCell ref="E8:H8"/>
    <mergeCell ref="A1:H1"/>
    <mergeCell ref="E4:H4"/>
    <mergeCell ref="E5:H5"/>
    <mergeCell ref="E6:H6"/>
    <mergeCell ref="E7:H7"/>
    <mergeCell ref="C35:E35"/>
    <mergeCell ref="E9:H9"/>
    <mergeCell ref="E10:H10"/>
    <mergeCell ref="E11:H11"/>
    <mergeCell ref="E12:H12"/>
    <mergeCell ref="E13:H13"/>
    <mergeCell ref="E14:H14"/>
    <mergeCell ref="E15:H15"/>
    <mergeCell ref="H19:H30"/>
    <mergeCell ref="C32:F32"/>
    <mergeCell ref="C33:F33"/>
    <mergeCell ref="C34:F34"/>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76A333-6550-4A8C-9275-C6B7F4068835}">
  <dimension ref="A1:H35"/>
  <sheetViews>
    <sheetView topLeftCell="A6" workbookViewId="0">
      <selection activeCell="D24" sqref="D24"/>
    </sheetView>
  </sheetViews>
  <sheetFormatPr defaultRowHeight="14.4"/>
  <cols>
    <col min="1" max="1" width="4.6640625" customWidth="1"/>
    <col min="2" max="2" width="40.44140625" customWidth="1"/>
    <col min="5" max="5" width="11" customWidth="1"/>
    <col min="7" max="7" width="13.33203125" customWidth="1"/>
    <col min="8" max="8" width="36.33203125" customWidth="1"/>
  </cols>
  <sheetData>
    <row r="1" spans="1:8" ht="34.799999999999997" customHeight="1">
      <c r="A1" s="78" t="s">
        <v>174</v>
      </c>
      <c r="B1" s="79"/>
      <c r="C1" s="79"/>
      <c r="D1" s="79"/>
      <c r="E1" s="79"/>
      <c r="F1" s="79"/>
      <c r="G1" s="79"/>
      <c r="H1" s="80"/>
    </row>
    <row r="3" spans="1:8">
      <c r="A3" s="1" t="s">
        <v>0</v>
      </c>
    </row>
    <row r="4" spans="1:8">
      <c r="B4" s="2" t="s">
        <v>1</v>
      </c>
      <c r="D4" s="32">
        <v>160</v>
      </c>
      <c r="E4" s="74" t="s">
        <v>2</v>
      </c>
      <c r="F4" s="75"/>
      <c r="G4" s="75"/>
      <c r="H4" s="75"/>
    </row>
    <row r="5" spans="1:8">
      <c r="B5" s="2" t="s">
        <v>3</v>
      </c>
      <c r="D5" s="33">
        <v>1</v>
      </c>
      <c r="E5" s="74" t="s">
        <v>4</v>
      </c>
      <c r="F5" s="75"/>
      <c r="G5" s="75"/>
      <c r="H5" s="75"/>
    </row>
    <row r="6" spans="1:8">
      <c r="B6" s="2" t="s">
        <v>5</v>
      </c>
      <c r="D6" s="34">
        <v>2640</v>
      </c>
      <c r="E6" s="74" t="s">
        <v>6</v>
      </c>
      <c r="F6" s="75"/>
      <c r="G6" s="75"/>
      <c r="H6" s="75"/>
    </row>
    <row r="7" spans="1:8">
      <c r="B7" s="2" t="s">
        <v>91</v>
      </c>
      <c r="D7" s="33">
        <v>5</v>
      </c>
      <c r="E7" s="74" t="s">
        <v>8</v>
      </c>
      <c r="F7" s="75"/>
      <c r="G7" s="75"/>
      <c r="H7" s="75"/>
    </row>
    <row r="8" spans="1:8">
      <c r="B8" s="2" t="s">
        <v>11</v>
      </c>
      <c r="D8" s="35">
        <v>20</v>
      </c>
      <c r="E8" s="74" t="s">
        <v>12</v>
      </c>
      <c r="F8" s="75"/>
      <c r="G8" s="75"/>
      <c r="H8" s="75"/>
    </row>
    <row r="9" spans="1:8">
      <c r="B9" s="2" t="s">
        <v>92</v>
      </c>
      <c r="D9" s="33">
        <v>2</v>
      </c>
      <c r="E9" s="74" t="s">
        <v>93</v>
      </c>
      <c r="F9" s="75"/>
      <c r="G9" s="75"/>
      <c r="H9" s="75"/>
    </row>
    <row r="10" spans="1:8">
      <c r="B10" s="2" t="s">
        <v>19</v>
      </c>
      <c r="D10" s="33">
        <v>2</v>
      </c>
      <c r="E10" s="74" t="s">
        <v>20</v>
      </c>
      <c r="F10" s="75"/>
      <c r="G10" s="75"/>
      <c r="H10" s="75"/>
    </row>
    <row r="11" spans="1:8">
      <c r="B11" s="2" t="s">
        <v>21</v>
      </c>
      <c r="D11" s="33">
        <v>0</v>
      </c>
      <c r="E11" s="74" t="s">
        <v>22</v>
      </c>
      <c r="F11" s="75"/>
      <c r="G11" s="75"/>
      <c r="H11" s="75"/>
    </row>
    <row r="12" spans="1:8">
      <c r="B12" s="2" t="s">
        <v>94</v>
      </c>
      <c r="D12" s="36">
        <v>0</v>
      </c>
      <c r="E12" s="74" t="s">
        <v>24</v>
      </c>
      <c r="F12" s="75"/>
      <c r="G12" s="75"/>
      <c r="H12" s="75"/>
    </row>
    <row r="13" spans="1:8">
      <c r="B13" s="2" t="s">
        <v>25</v>
      </c>
      <c r="D13" s="33">
        <v>24</v>
      </c>
      <c r="E13" s="74" t="s">
        <v>26</v>
      </c>
      <c r="F13" s="75"/>
      <c r="G13" s="75"/>
      <c r="H13" s="75"/>
    </row>
    <row r="14" spans="1:8">
      <c r="B14" s="7" t="s">
        <v>95</v>
      </c>
      <c r="D14" s="37">
        <v>0.1</v>
      </c>
      <c r="E14" s="74" t="s">
        <v>36</v>
      </c>
      <c r="F14" s="75"/>
      <c r="G14" s="75"/>
      <c r="H14" s="75"/>
    </row>
    <row r="15" spans="1:8">
      <c r="B15" s="2" t="s">
        <v>96</v>
      </c>
      <c r="D15" s="37">
        <v>0.9</v>
      </c>
      <c r="E15" s="74" t="s">
        <v>36</v>
      </c>
      <c r="F15" s="75"/>
      <c r="G15" s="75"/>
      <c r="H15" s="75"/>
    </row>
    <row r="16" spans="1:8">
      <c r="H16" s="8"/>
    </row>
    <row r="17" spans="1:8">
      <c r="A17" s="1" t="s">
        <v>37</v>
      </c>
      <c r="H17" s="8"/>
    </row>
    <row r="18" spans="1:8" ht="27">
      <c r="A18" s="9" t="s">
        <v>38</v>
      </c>
      <c r="B18" s="9"/>
      <c r="C18" s="31" t="s">
        <v>39</v>
      </c>
      <c r="D18" s="9"/>
      <c r="E18" s="10" t="s">
        <v>40</v>
      </c>
      <c r="F18" s="9"/>
      <c r="G18" s="9"/>
      <c r="H18" s="8"/>
    </row>
    <row r="19" spans="1:8">
      <c r="B19" s="2" t="s">
        <v>110</v>
      </c>
      <c r="C19" s="11">
        <f>(D10*2)+(D11*3)</f>
        <v>4</v>
      </c>
      <c r="E19" s="69">
        <f>'Price List'!C3</f>
        <v>25</v>
      </c>
      <c r="F19" s="13" t="s">
        <v>45</v>
      </c>
      <c r="G19" s="19">
        <f t="shared" ref="G19:G22" si="0">E19*C19</f>
        <v>100</v>
      </c>
      <c r="H19" s="88" t="s">
        <v>192</v>
      </c>
    </row>
    <row r="20" spans="1:8">
      <c r="B20" s="2" t="s">
        <v>111</v>
      </c>
      <c r="C20" s="11">
        <f>(D9*D10*2)+(D9*D11*4)</f>
        <v>8</v>
      </c>
      <c r="E20" s="69">
        <f>'Price List'!C3</f>
        <v>25</v>
      </c>
      <c r="F20" s="13" t="s">
        <v>45</v>
      </c>
      <c r="G20" s="19">
        <f t="shared" si="0"/>
        <v>200</v>
      </c>
      <c r="H20" s="89"/>
    </row>
    <row r="21" spans="1:8">
      <c r="B21" s="2" t="s">
        <v>97</v>
      </c>
      <c r="C21" s="11">
        <f>C20</f>
        <v>8</v>
      </c>
      <c r="E21" s="69">
        <f>'Price List'!D4</f>
        <v>16</v>
      </c>
      <c r="F21" s="13" t="s">
        <v>45</v>
      </c>
      <c r="G21" s="19">
        <f t="shared" si="0"/>
        <v>128</v>
      </c>
      <c r="H21" s="89"/>
    </row>
    <row r="22" spans="1:8">
      <c r="B22" s="7" t="s">
        <v>98</v>
      </c>
      <c r="C22" s="11">
        <f>C21*20</f>
        <v>160</v>
      </c>
      <c r="E22" s="69">
        <f>'Price List'!D12</f>
        <v>0.15783625730994152</v>
      </c>
      <c r="F22" s="38" t="s">
        <v>47</v>
      </c>
      <c r="G22" s="19">
        <f t="shared" si="0"/>
        <v>25.253801169590645</v>
      </c>
      <c r="H22" s="89"/>
    </row>
    <row r="23" spans="1:8">
      <c r="B23" s="2" t="s">
        <v>99</v>
      </c>
      <c r="C23" s="11">
        <f>(D6/D8)*D14</f>
        <v>13.200000000000001</v>
      </c>
      <c r="E23" s="69">
        <f>'Price List'!C6</f>
        <v>10</v>
      </c>
      <c r="F23" s="2" t="s">
        <v>45</v>
      </c>
      <c r="G23" s="19">
        <f>E23*C23</f>
        <v>132</v>
      </c>
      <c r="H23" s="89"/>
    </row>
    <row r="24" spans="1:8">
      <c r="B24" s="2" t="s">
        <v>100</v>
      </c>
      <c r="C24" s="11">
        <f>((C23+C19+C20)*D7)+50</f>
        <v>176</v>
      </c>
      <c r="D24" s="39">
        <f>C24/55</f>
        <v>3.2</v>
      </c>
      <c r="E24" s="69">
        <f>'Price List'!C13</f>
        <v>3.99</v>
      </c>
      <c r="F24" s="2" t="s">
        <v>45</v>
      </c>
      <c r="G24" s="19">
        <f>D24*E24</f>
        <v>12.768000000000001</v>
      </c>
      <c r="H24" s="89"/>
    </row>
    <row r="25" spans="1:8">
      <c r="B25" s="2" t="s">
        <v>101</v>
      </c>
      <c r="C25" s="17">
        <f>(D6/D8)*D15</f>
        <v>118.8</v>
      </c>
      <c r="E25" s="69">
        <f>'Price List'!D7</f>
        <v>5.84</v>
      </c>
      <c r="F25" s="2" t="s">
        <v>45</v>
      </c>
      <c r="G25" s="19">
        <f>E25*C25</f>
        <v>693.79199999999992</v>
      </c>
      <c r="H25" s="89"/>
    </row>
    <row r="26" spans="1:8">
      <c r="B26" s="2" t="s">
        <v>102</v>
      </c>
      <c r="C26" s="11">
        <f>D6*D7</f>
        <v>13200</v>
      </c>
      <c r="D26" s="40">
        <f>C26/1320</f>
        <v>10</v>
      </c>
      <c r="E26" s="69">
        <f>'Price List'!C9</f>
        <v>84.99</v>
      </c>
      <c r="F26" s="38" t="s">
        <v>103</v>
      </c>
      <c r="G26" s="19">
        <f>E26*D26</f>
        <v>849.9</v>
      </c>
      <c r="H26" s="89"/>
    </row>
    <row r="27" spans="1:8">
      <c r="C27" s="20" t="s">
        <v>60</v>
      </c>
      <c r="D27" s="9"/>
      <c r="E27" s="9"/>
      <c r="F27" s="9"/>
      <c r="G27" s="23">
        <f>SUM(G19:G26)</f>
        <v>2141.7138011695906</v>
      </c>
      <c r="H27" s="89"/>
    </row>
    <row r="28" spans="1:8">
      <c r="C28" s="20" t="s">
        <v>61</v>
      </c>
      <c r="D28" s="9"/>
      <c r="E28" s="9"/>
      <c r="F28" s="9"/>
      <c r="G28" s="22">
        <f>G27/$D$6</f>
        <v>0.81125522771575398</v>
      </c>
      <c r="H28" s="89"/>
    </row>
    <row r="29" spans="1:8">
      <c r="C29" s="20" t="s">
        <v>62</v>
      </c>
      <c r="D29" s="9"/>
      <c r="E29" s="9"/>
      <c r="F29" s="9"/>
      <c r="G29" s="23">
        <f>G28*1320</f>
        <v>1070.8569005847953</v>
      </c>
      <c r="H29" s="89"/>
    </row>
    <row r="30" spans="1:8">
      <c r="C30" s="20" t="s">
        <v>63</v>
      </c>
      <c r="D30" s="9"/>
      <c r="E30" s="9"/>
      <c r="F30" s="9"/>
      <c r="G30" s="23">
        <f>G27/$D$4</f>
        <v>13.385711257309941</v>
      </c>
      <c r="H30" s="89"/>
    </row>
    <row r="31" spans="1:8">
      <c r="H31" s="8"/>
    </row>
    <row r="32" spans="1:8">
      <c r="C32" s="90" t="s">
        <v>104</v>
      </c>
      <c r="D32" s="90"/>
      <c r="E32" s="90"/>
      <c r="F32" s="90"/>
      <c r="G32" s="41">
        <v>5</v>
      </c>
      <c r="H32" s="8"/>
    </row>
    <row r="33" spans="2:8">
      <c r="C33" s="90" t="s">
        <v>105</v>
      </c>
      <c r="D33" s="90"/>
      <c r="E33" s="90"/>
      <c r="F33" s="90"/>
      <c r="G33" s="42">
        <v>0.08</v>
      </c>
      <c r="H33" s="8"/>
    </row>
    <row r="34" spans="2:8">
      <c r="C34" s="90" t="s">
        <v>106</v>
      </c>
      <c r="D34" s="90"/>
      <c r="E34" s="90"/>
      <c r="F34" s="90"/>
      <c r="G34" s="43">
        <f>PMT(G33,G32,-G30)</f>
        <v>3.3525377833612402</v>
      </c>
      <c r="H34" s="8"/>
    </row>
    <row r="35" spans="2:8">
      <c r="B35" s="11"/>
      <c r="C35" s="87"/>
      <c r="D35" s="77"/>
      <c r="E35" s="77"/>
      <c r="F35" s="14"/>
      <c r="G35" s="14"/>
      <c r="H35" s="8"/>
    </row>
  </sheetData>
  <mergeCells count="18">
    <mergeCell ref="E8:H8"/>
    <mergeCell ref="A1:H1"/>
    <mergeCell ref="E4:H4"/>
    <mergeCell ref="E5:H5"/>
    <mergeCell ref="E6:H6"/>
    <mergeCell ref="E7:H7"/>
    <mergeCell ref="C35:E35"/>
    <mergeCell ref="E9:H9"/>
    <mergeCell ref="E10:H10"/>
    <mergeCell ref="E11:H11"/>
    <mergeCell ref="E12:H12"/>
    <mergeCell ref="E13:H13"/>
    <mergeCell ref="E14:H14"/>
    <mergeCell ref="E15:H15"/>
    <mergeCell ref="H19:H30"/>
    <mergeCell ref="C32:F32"/>
    <mergeCell ref="C33:F33"/>
    <mergeCell ref="C34:F34"/>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CB6D4C-584F-46B0-8726-D0390B4709EC}">
  <dimension ref="A1:G47"/>
  <sheetViews>
    <sheetView topLeftCell="A16" workbookViewId="0">
      <selection activeCell="D27" sqref="D27:E41"/>
    </sheetView>
  </sheetViews>
  <sheetFormatPr defaultColWidth="9.109375" defaultRowHeight="14.4"/>
  <cols>
    <col min="2" max="2" width="36.5546875" customWidth="1"/>
    <col min="3" max="3" width="8.6640625" customWidth="1"/>
    <col min="7" max="7" width="15.77734375" customWidth="1"/>
  </cols>
  <sheetData>
    <row r="1" spans="1:7" ht="35.4" customHeight="1">
      <c r="A1" s="79" t="s">
        <v>172</v>
      </c>
      <c r="B1" s="79"/>
      <c r="C1" s="79"/>
      <c r="D1" s="79"/>
      <c r="E1" s="79"/>
      <c r="F1" s="79"/>
      <c r="G1" s="79"/>
    </row>
    <row r="2" spans="1:7">
      <c r="A2" s="46" t="s">
        <v>0</v>
      </c>
      <c r="B2" s="47"/>
      <c r="C2" s="47"/>
      <c r="D2" s="47"/>
      <c r="E2" s="47"/>
      <c r="F2" s="47"/>
      <c r="G2" s="47"/>
    </row>
    <row r="3" spans="1:7" ht="4.5" customHeight="1">
      <c r="A3" s="47"/>
      <c r="B3" s="47"/>
      <c r="C3" s="47"/>
      <c r="D3" s="47"/>
      <c r="E3" s="47"/>
      <c r="F3" s="47"/>
      <c r="G3" s="47"/>
    </row>
    <row r="4" spans="1:7">
      <c r="A4" s="47"/>
      <c r="B4" s="91" t="s">
        <v>1</v>
      </c>
      <c r="C4" s="91"/>
      <c r="D4" s="48">
        <v>160</v>
      </c>
      <c r="E4" s="49" t="s">
        <v>127</v>
      </c>
      <c r="F4" s="47"/>
      <c r="G4" s="47"/>
    </row>
    <row r="5" spans="1:7">
      <c r="A5" s="47"/>
      <c r="B5" s="91" t="s">
        <v>3</v>
      </c>
      <c r="C5" s="91"/>
      <c r="D5" s="50">
        <v>1</v>
      </c>
      <c r="E5" s="49" t="s">
        <v>128</v>
      </c>
      <c r="F5" s="47"/>
      <c r="G5" s="47"/>
    </row>
    <row r="6" spans="1:7">
      <c r="A6" s="47"/>
      <c r="B6" s="91" t="s">
        <v>5</v>
      </c>
      <c r="C6" s="91"/>
      <c r="D6" s="51">
        <v>2640</v>
      </c>
      <c r="E6" s="49" t="s">
        <v>129</v>
      </c>
      <c r="F6" s="47"/>
      <c r="G6" s="47"/>
    </row>
    <row r="7" spans="1:7">
      <c r="A7" s="47"/>
      <c r="B7" s="91" t="s">
        <v>130</v>
      </c>
      <c r="C7" s="91"/>
      <c r="D7" s="50">
        <v>1</v>
      </c>
      <c r="E7" s="49" t="s">
        <v>131</v>
      </c>
      <c r="F7" s="47"/>
      <c r="G7" s="47"/>
    </row>
    <row r="8" spans="1:7">
      <c r="A8" s="47"/>
      <c r="B8" s="91" t="s">
        <v>132</v>
      </c>
      <c r="C8" s="91"/>
      <c r="D8" s="50">
        <v>0</v>
      </c>
      <c r="E8" s="92" t="s">
        <v>133</v>
      </c>
      <c r="F8" s="92"/>
      <c r="G8" s="92"/>
    </row>
    <row r="9" spans="1:7">
      <c r="A9" s="47"/>
      <c r="B9" s="91" t="s">
        <v>134</v>
      </c>
      <c r="C9" s="91"/>
      <c r="D9" s="50">
        <v>13</v>
      </c>
      <c r="E9" s="92" t="s">
        <v>135</v>
      </c>
      <c r="F9" s="77"/>
      <c r="G9" s="77"/>
    </row>
    <row r="10" spans="1:7">
      <c r="A10" s="47"/>
      <c r="B10" s="91" t="s">
        <v>136</v>
      </c>
      <c r="C10" s="91"/>
      <c r="D10" s="50">
        <v>0</v>
      </c>
      <c r="E10" s="49" t="s">
        <v>131</v>
      </c>
      <c r="F10" s="47"/>
      <c r="G10" s="47"/>
    </row>
    <row r="11" spans="1:7">
      <c r="A11" s="47"/>
      <c r="B11" s="91" t="s">
        <v>159</v>
      </c>
      <c r="C11" s="91"/>
      <c r="D11" s="50">
        <v>1</v>
      </c>
      <c r="E11" s="49" t="s">
        <v>131</v>
      </c>
      <c r="F11" s="47"/>
      <c r="G11" s="47"/>
    </row>
    <row r="12" spans="1:7">
      <c r="A12" s="47"/>
      <c r="B12" s="91" t="s">
        <v>11</v>
      </c>
      <c r="C12" s="91"/>
      <c r="D12" s="50">
        <v>12.5</v>
      </c>
      <c r="E12" s="49" t="s">
        <v>137</v>
      </c>
      <c r="F12" s="47"/>
      <c r="G12" s="47"/>
    </row>
    <row r="13" spans="1:7">
      <c r="A13" s="47"/>
      <c r="B13" s="91" t="s">
        <v>138</v>
      </c>
      <c r="C13" s="91"/>
      <c r="D13" s="50">
        <v>0</v>
      </c>
      <c r="E13" s="49" t="s">
        <v>131</v>
      </c>
      <c r="F13" s="47"/>
      <c r="G13" s="47"/>
    </row>
    <row r="14" spans="1:7">
      <c r="A14" s="47"/>
      <c r="B14" s="91" t="s">
        <v>139</v>
      </c>
      <c r="C14" s="91"/>
      <c r="D14" s="50">
        <v>60</v>
      </c>
      <c r="E14" s="49" t="s">
        <v>140</v>
      </c>
      <c r="F14" s="47"/>
      <c r="G14" s="47"/>
    </row>
    <row r="15" spans="1:7">
      <c r="A15" s="47"/>
      <c r="B15" s="91" t="s">
        <v>141</v>
      </c>
      <c r="C15" s="91"/>
      <c r="D15" s="50">
        <v>0</v>
      </c>
      <c r="E15" s="49" t="s">
        <v>142</v>
      </c>
      <c r="F15" s="47"/>
      <c r="G15" s="47"/>
    </row>
    <row r="16" spans="1:7">
      <c r="A16" s="47"/>
      <c r="B16" s="91" t="s">
        <v>25</v>
      </c>
      <c r="C16" s="91"/>
      <c r="D16" s="50">
        <v>0</v>
      </c>
      <c r="E16" s="49" t="s">
        <v>143</v>
      </c>
      <c r="F16" s="47"/>
      <c r="G16" s="47"/>
    </row>
    <row r="17" spans="1:7">
      <c r="A17" s="47"/>
      <c r="B17" s="91" t="s">
        <v>19</v>
      </c>
      <c r="C17" s="91"/>
      <c r="D17" s="48">
        <v>4</v>
      </c>
      <c r="E17" s="49" t="s">
        <v>144</v>
      </c>
      <c r="F17" s="47"/>
      <c r="G17" s="47"/>
    </row>
    <row r="18" spans="1:7">
      <c r="A18" s="47"/>
      <c r="B18" s="91" t="s">
        <v>21</v>
      </c>
      <c r="C18" s="91"/>
      <c r="D18" s="50">
        <v>0</v>
      </c>
      <c r="E18" s="49" t="s">
        <v>145</v>
      </c>
      <c r="F18" s="47"/>
      <c r="G18" s="47"/>
    </row>
    <row r="19" spans="1:7">
      <c r="A19" s="47"/>
      <c r="B19" s="91" t="s">
        <v>146</v>
      </c>
      <c r="C19" s="91"/>
      <c r="D19" s="52">
        <v>0.2</v>
      </c>
      <c r="E19" s="49" t="s">
        <v>147</v>
      </c>
      <c r="F19" s="47"/>
      <c r="G19" s="47"/>
    </row>
    <row r="20" spans="1:7">
      <c r="A20" s="47"/>
      <c r="B20" s="91" t="s">
        <v>164</v>
      </c>
      <c r="C20" s="91"/>
      <c r="D20" s="52">
        <v>0.8</v>
      </c>
      <c r="E20" s="49" t="s">
        <v>147</v>
      </c>
      <c r="F20" s="47"/>
      <c r="G20" s="47"/>
    </row>
    <row r="21" spans="1:7" ht="5.25" customHeight="1">
      <c r="A21" s="47"/>
      <c r="B21" s="47"/>
      <c r="C21" s="47"/>
      <c r="D21" s="47"/>
      <c r="E21" s="47"/>
      <c r="F21" s="47"/>
      <c r="G21" s="53"/>
    </row>
    <row r="22" spans="1:7">
      <c r="A22" s="46" t="s">
        <v>37</v>
      </c>
      <c r="B22" s="47"/>
      <c r="C22" s="47"/>
      <c r="D22" s="47"/>
      <c r="E22" s="47"/>
      <c r="F22" s="47"/>
      <c r="G22" s="47"/>
    </row>
    <row r="23" spans="1:7" ht="5.25" customHeight="1">
      <c r="A23" s="47"/>
      <c r="B23" s="47"/>
      <c r="C23" s="47"/>
      <c r="D23" s="47"/>
      <c r="E23" s="47"/>
      <c r="F23" s="47"/>
      <c r="G23" s="47"/>
    </row>
    <row r="24" spans="1:7">
      <c r="A24" s="47"/>
      <c r="B24" s="54"/>
      <c r="C24" s="54"/>
      <c r="D24" s="54"/>
      <c r="E24" s="55" t="s">
        <v>40</v>
      </c>
      <c r="F24" s="54"/>
      <c r="G24" s="54"/>
    </row>
    <row r="25" spans="1:7">
      <c r="A25" s="49" t="s">
        <v>41</v>
      </c>
      <c r="B25" s="55" t="s">
        <v>42</v>
      </c>
      <c r="C25" s="55" t="s">
        <v>148</v>
      </c>
      <c r="D25" s="54"/>
      <c r="E25" s="55" t="s">
        <v>43</v>
      </c>
      <c r="F25" s="54"/>
      <c r="G25" s="55" t="s">
        <v>44</v>
      </c>
    </row>
    <row r="26" spans="1:7">
      <c r="A26" s="47"/>
      <c r="B26" s="47"/>
      <c r="C26" s="47"/>
      <c r="D26" s="47"/>
      <c r="E26" s="47"/>
      <c r="F26" s="47"/>
      <c r="G26" s="47"/>
    </row>
    <row r="27" spans="1:7">
      <c r="A27" s="47"/>
      <c r="B27" s="49" t="s">
        <v>160</v>
      </c>
      <c r="C27" s="56">
        <f>D17*2</f>
        <v>8</v>
      </c>
      <c r="D27" s="47"/>
      <c r="E27" s="57">
        <f>'Price List'!C3</f>
        <v>25</v>
      </c>
      <c r="F27" s="58" t="s">
        <v>45</v>
      </c>
      <c r="G27" s="59">
        <f>+E27*C27</f>
        <v>200</v>
      </c>
    </row>
    <row r="28" spans="1:7">
      <c r="A28" s="47"/>
      <c r="B28" s="49" t="s">
        <v>161</v>
      </c>
      <c r="C28" s="56">
        <f>3.2*C27</f>
        <v>25.6</v>
      </c>
      <c r="D28" s="47"/>
      <c r="E28" s="57">
        <f>'Price List'!C3</f>
        <v>25</v>
      </c>
      <c r="F28" s="58" t="s">
        <v>45</v>
      </c>
      <c r="G28" s="59">
        <f t="shared" ref="G28:G41" si="0">+E28*C28</f>
        <v>640</v>
      </c>
    </row>
    <row r="29" spans="1:7">
      <c r="A29" s="47"/>
      <c r="B29" s="49" t="s">
        <v>162</v>
      </c>
      <c r="C29" s="56">
        <f>C28</f>
        <v>25.6</v>
      </c>
      <c r="D29" s="47"/>
      <c r="E29" s="57">
        <f>'Price List'!D4</f>
        <v>16</v>
      </c>
      <c r="F29" s="58"/>
      <c r="G29" s="59"/>
    </row>
    <row r="30" spans="1:7">
      <c r="A30" s="47"/>
      <c r="B30" s="49" t="s">
        <v>165</v>
      </c>
      <c r="C30" s="56">
        <f>+D6*D7</f>
        <v>2640</v>
      </c>
      <c r="D30" s="60">
        <f>'Price List'!C10</f>
        <v>259.99</v>
      </c>
      <c r="E30" s="59">
        <f>D30/330</f>
        <v>0.78784848484848491</v>
      </c>
      <c r="F30" s="49" t="s">
        <v>47</v>
      </c>
      <c r="G30" s="59">
        <f t="shared" si="0"/>
        <v>2079.92</v>
      </c>
    </row>
    <row r="31" spans="1:7">
      <c r="A31" s="47"/>
      <c r="B31" s="49" t="s">
        <v>166</v>
      </c>
      <c r="C31" s="47">
        <f>D6*D11</f>
        <v>2640</v>
      </c>
      <c r="D31" s="60">
        <f>'Price List'!C8</f>
        <v>129.3399</v>
      </c>
      <c r="E31" s="59">
        <f>D31/1320</f>
        <v>9.7984772727272726E-2</v>
      </c>
      <c r="F31" s="49" t="s">
        <v>47</v>
      </c>
      <c r="G31" s="59">
        <f t="shared" si="0"/>
        <v>258.6798</v>
      </c>
    </row>
    <row r="32" spans="1:7">
      <c r="A32" s="47"/>
      <c r="B32" s="49" t="s">
        <v>163</v>
      </c>
      <c r="C32" s="56">
        <f>+((D6/D12)*D19)-C27</f>
        <v>34.24</v>
      </c>
      <c r="D32" s="47"/>
      <c r="E32" s="57">
        <f>'Price List'!D6</f>
        <v>10</v>
      </c>
      <c r="F32" s="49" t="s">
        <v>45</v>
      </c>
      <c r="G32" s="59">
        <f t="shared" si="0"/>
        <v>342.40000000000003</v>
      </c>
    </row>
    <row r="33" spans="1:7">
      <c r="A33" s="47"/>
      <c r="B33" s="49" t="str">
        <f>B20</f>
        <v xml:space="preserve">Steel T-posts 78" x 1.33" </v>
      </c>
      <c r="C33" s="56">
        <f>+(D6/D12)*D20</f>
        <v>168.96</v>
      </c>
      <c r="D33" s="47"/>
      <c r="E33" s="59">
        <f>'Price List'!D7</f>
        <v>5.84</v>
      </c>
      <c r="F33" s="49" t="s">
        <v>45</v>
      </c>
      <c r="G33" s="59">
        <f t="shared" si="0"/>
        <v>986.72640000000001</v>
      </c>
    </row>
    <row r="34" spans="1:7">
      <c r="A34" s="47"/>
      <c r="B34" s="49" t="s">
        <v>149</v>
      </c>
      <c r="C34" s="61">
        <v>0</v>
      </c>
      <c r="D34" s="47"/>
      <c r="E34" s="59">
        <v>1.05</v>
      </c>
      <c r="F34" s="49" t="s">
        <v>45</v>
      </c>
      <c r="G34" s="59">
        <f t="shared" si="0"/>
        <v>0</v>
      </c>
    </row>
    <row r="35" spans="1:7">
      <c r="A35" s="47"/>
      <c r="B35" s="49" t="s">
        <v>150</v>
      </c>
      <c r="C35" s="47">
        <f>+(D6*D10)+(D13*D6)+(C37*2)</f>
        <v>0</v>
      </c>
      <c r="D35" s="60">
        <v>142.75</v>
      </c>
      <c r="E35" s="59">
        <f>D35/4000</f>
        <v>3.5687499999999997E-2</v>
      </c>
      <c r="F35" s="49" t="s">
        <v>47</v>
      </c>
      <c r="G35" s="59">
        <f t="shared" si="0"/>
        <v>0</v>
      </c>
    </row>
    <row r="36" spans="1:7">
      <c r="B36" s="49" t="s">
        <v>151</v>
      </c>
      <c r="C36" s="17">
        <f>C35/60</f>
        <v>0</v>
      </c>
      <c r="E36" s="45">
        <v>4.75</v>
      </c>
      <c r="F36" s="49" t="s">
        <v>45</v>
      </c>
      <c r="G36" s="59">
        <f t="shared" si="0"/>
        <v>0</v>
      </c>
    </row>
    <row r="37" spans="1:7">
      <c r="A37" s="47"/>
      <c r="B37" s="49" t="s">
        <v>152</v>
      </c>
      <c r="C37" s="56">
        <f>(D9*2*(D17+D18)*D8)+(D10*2*(D17+D18))+(D13*(D17+D18)*2)</f>
        <v>0</v>
      </c>
      <c r="D37" s="47"/>
      <c r="E37" s="67">
        <f>'1-strand'!E38</f>
        <v>0.85</v>
      </c>
      <c r="F37" s="49" t="s">
        <v>45</v>
      </c>
      <c r="G37" s="59">
        <f t="shared" si="0"/>
        <v>0</v>
      </c>
    </row>
    <row r="38" spans="1:7">
      <c r="A38" s="47"/>
      <c r="B38" s="49" t="s">
        <v>153</v>
      </c>
      <c r="C38" s="47">
        <f>((D10*(D17+D18))+(D13*(D17+D18)))</f>
        <v>0</v>
      </c>
      <c r="D38" s="47"/>
      <c r="E38" s="67">
        <f>'1-strand'!E40</f>
        <v>5.5</v>
      </c>
      <c r="F38" s="49" t="s">
        <v>45</v>
      </c>
      <c r="G38" s="59">
        <f t="shared" si="0"/>
        <v>0</v>
      </c>
    </row>
    <row r="39" spans="1:7">
      <c r="A39" s="47"/>
      <c r="B39" s="49" t="s">
        <v>54</v>
      </c>
      <c r="C39" s="61">
        <f>((C37*6)+(C38*2))*1.2</f>
        <v>0</v>
      </c>
      <c r="D39" s="47"/>
      <c r="E39" s="67">
        <f>'1-strand'!E39</f>
        <v>0.23749999999999999</v>
      </c>
      <c r="F39" s="49" t="s">
        <v>45</v>
      </c>
      <c r="G39" s="59">
        <f t="shared" si="0"/>
        <v>0</v>
      </c>
    </row>
    <row r="40" spans="1:7">
      <c r="A40" s="47"/>
      <c r="B40" s="49" t="s">
        <v>56</v>
      </c>
      <c r="C40" s="47">
        <v>0</v>
      </c>
      <c r="D40" s="60"/>
      <c r="E40" s="67">
        <f>'1-strand'!E41</f>
        <v>0.28749999999999998</v>
      </c>
      <c r="F40" s="49" t="s">
        <v>47</v>
      </c>
      <c r="G40" s="59">
        <f>+E40*C40</f>
        <v>0</v>
      </c>
    </row>
    <row r="41" spans="1:7">
      <c r="A41" s="47"/>
      <c r="B41" s="49" t="s">
        <v>154</v>
      </c>
      <c r="C41" s="56">
        <v>0</v>
      </c>
      <c r="D41" s="47"/>
      <c r="E41" s="53">
        <v>10.5</v>
      </c>
      <c r="F41" s="49" t="s">
        <v>45</v>
      </c>
      <c r="G41" s="53">
        <f t="shared" si="0"/>
        <v>0</v>
      </c>
    </row>
    <row r="42" spans="1:7">
      <c r="A42" s="47"/>
      <c r="B42" s="47"/>
      <c r="C42" s="56"/>
      <c r="D42" s="47"/>
      <c r="E42" s="47"/>
      <c r="F42" s="47"/>
      <c r="G42" s="47"/>
    </row>
    <row r="43" spans="1:7">
      <c r="A43" s="47"/>
      <c r="B43" s="47"/>
      <c r="C43" s="56"/>
      <c r="D43" s="47"/>
      <c r="E43" s="47"/>
      <c r="F43" s="47"/>
      <c r="G43" s="47"/>
    </row>
    <row r="44" spans="1:7">
      <c r="A44" s="47"/>
      <c r="B44" s="47"/>
      <c r="C44" s="62" t="s">
        <v>155</v>
      </c>
      <c r="D44" s="47"/>
      <c r="E44" s="47"/>
      <c r="F44" s="47"/>
      <c r="G44" s="63">
        <f>SUM(G27:G41)</f>
        <v>4507.7262000000001</v>
      </c>
    </row>
    <row r="45" spans="1:7">
      <c r="A45" s="47"/>
      <c r="B45" s="47"/>
      <c r="C45" s="62" t="s">
        <v>156</v>
      </c>
      <c r="D45" s="47"/>
      <c r="E45" s="47"/>
      <c r="F45" s="47"/>
      <c r="G45" s="64">
        <f>G44/D6</f>
        <v>1.7074720454545456</v>
      </c>
    </row>
    <row r="46" spans="1:7">
      <c r="A46" s="47"/>
      <c r="B46" s="47"/>
      <c r="C46" s="62" t="s">
        <v>157</v>
      </c>
      <c r="D46" s="47"/>
      <c r="E46" s="47"/>
      <c r="F46" s="47"/>
      <c r="G46" s="63">
        <f>+G45*1320</f>
        <v>2253.8631</v>
      </c>
    </row>
    <row r="47" spans="1:7">
      <c r="A47" s="47"/>
      <c r="B47" s="47"/>
      <c r="C47" s="62" t="s">
        <v>158</v>
      </c>
      <c r="D47" s="47"/>
      <c r="E47" s="47"/>
      <c r="F47" s="47"/>
      <c r="G47" s="63">
        <f>G44/D4</f>
        <v>28.173288750000001</v>
      </c>
    </row>
  </sheetData>
  <mergeCells count="20">
    <mergeCell ref="B13:C13"/>
    <mergeCell ref="A1:G1"/>
    <mergeCell ref="B4:C4"/>
    <mergeCell ref="B5:C5"/>
    <mergeCell ref="B6:C6"/>
    <mergeCell ref="B7:C7"/>
    <mergeCell ref="B8:C8"/>
    <mergeCell ref="E8:G8"/>
    <mergeCell ref="B9:C9"/>
    <mergeCell ref="E9:G9"/>
    <mergeCell ref="B10:C10"/>
    <mergeCell ref="B11:C11"/>
    <mergeCell ref="B12:C12"/>
    <mergeCell ref="B20:C20"/>
    <mergeCell ref="B14:C14"/>
    <mergeCell ref="B15:C15"/>
    <mergeCell ref="B16:C16"/>
    <mergeCell ref="B17:C17"/>
    <mergeCell ref="B18:C18"/>
    <mergeCell ref="B19:C19"/>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C01ABF-2E98-4151-910C-0068843834B0}">
  <dimension ref="A1:G47"/>
  <sheetViews>
    <sheetView topLeftCell="A18" workbookViewId="0">
      <selection activeCell="G31" sqref="G31"/>
    </sheetView>
  </sheetViews>
  <sheetFormatPr defaultColWidth="9.109375" defaultRowHeight="14.4"/>
  <cols>
    <col min="2" max="2" width="36.5546875" customWidth="1"/>
    <col min="3" max="3" width="8.6640625" customWidth="1"/>
    <col min="7" max="7" width="16.88671875" customWidth="1"/>
  </cols>
  <sheetData>
    <row r="1" spans="1:7" ht="36" customHeight="1">
      <c r="A1" s="79" t="s">
        <v>173</v>
      </c>
      <c r="B1" s="79"/>
      <c r="C1" s="79"/>
      <c r="D1" s="79"/>
      <c r="E1" s="79"/>
      <c r="F1" s="79"/>
      <c r="G1" s="79"/>
    </row>
    <row r="2" spans="1:7">
      <c r="A2" s="46" t="s">
        <v>0</v>
      </c>
      <c r="B2" s="47"/>
      <c r="C2" s="47"/>
      <c r="D2" s="47"/>
      <c r="E2" s="47"/>
      <c r="F2" s="47"/>
      <c r="G2" s="47"/>
    </row>
    <row r="3" spans="1:7" ht="4.5" customHeight="1">
      <c r="A3" s="47"/>
      <c r="B3" s="47"/>
      <c r="C3" s="47"/>
      <c r="D3" s="47"/>
      <c r="E3" s="47"/>
      <c r="F3" s="47"/>
      <c r="G3" s="47"/>
    </row>
    <row r="4" spans="1:7">
      <c r="A4" s="47"/>
      <c r="B4" s="91" t="s">
        <v>1</v>
      </c>
      <c r="C4" s="91"/>
      <c r="D4" s="48">
        <v>160</v>
      </c>
      <c r="E4" s="49" t="s">
        <v>127</v>
      </c>
      <c r="F4" s="47"/>
      <c r="G4" s="47"/>
    </row>
    <row r="5" spans="1:7">
      <c r="A5" s="47"/>
      <c r="B5" s="91" t="s">
        <v>3</v>
      </c>
      <c r="C5" s="91"/>
      <c r="D5" s="50">
        <v>1</v>
      </c>
      <c r="E5" s="49" t="s">
        <v>128</v>
      </c>
      <c r="F5" s="47"/>
      <c r="G5" s="47"/>
    </row>
    <row r="6" spans="1:7">
      <c r="A6" s="47"/>
      <c r="B6" s="91" t="s">
        <v>5</v>
      </c>
      <c r="C6" s="91"/>
      <c r="D6" s="51">
        <v>2640</v>
      </c>
      <c r="E6" s="49" t="s">
        <v>129</v>
      </c>
      <c r="F6" s="47"/>
      <c r="G6" s="47"/>
    </row>
    <row r="7" spans="1:7">
      <c r="A7" s="47"/>
      <c r="B7" s="91" t="s">
        <v>130</v>
      </c>
      <c r="C7" s="91"/>
      <c r="D7" s="50">
        <v>1</v>
      </c>
      <c r="E7" s="49" t="s">
        <v>131</v>
      </c>
      <c r="F7" s="47"/>
      <c r="G7" s="47"/>
    </row>
    <row r="8" spans="1:7">
      <c r="A8" s="47"/>
      <c r="B8" s="91" t="s">
        <v>132</v>
      </c>
      <c r="C8" s="91"/>
      <c r="D8" s="50">
        <v>0</v>
      </c>
      <c r="E8" s="92" t="s">
        <v>133</v>
      </c>
      <c r="F8" s="92"/>
      <c r="G8" s="92"/>
    </row>
    <row r="9" spans="1:7">
      <c r="A9" s="47"/>
      <c r="B9" s="91" t="s">
        <v>134</v>
      </c>
      <c r="C9" s="91"/>
      <c r="D9" s="50">
        <v>13</v>
      </c>
      <c r="E9" s="92" t="s">
        <v>135</v>
      </c>
      <c r="F9" s="77"/>
      <c r="G9" s="77"/>
    </row>
    <row r="10" spans="1:7">
      <c r="A10" s="47"/>
      <c r="B10" s="91" t="s">
        <v>136</v>
      </c>
      <c r="C10" s="91"/>
      <c r="D10" s="50">
        <v>0</v>
      </c>
      <c r="E10" s="49" t="s">
        <v>131</v>
      </c>
      <c r="F10" s="47"/>
      <c r="G10" s="47"/>
    </row>
    <row r="11" spans="1:7">
      <c r="A11" s="47"/>
      <c r="B11" s="91" t="s">
        <v>159</v>
      </c>
      <c r="C11" s="91"/>
      <c r="D11" s="50">
        <v>1</v>
      </c>
      <c r="E11" s="49" t="s">
        <v>131</v>
      </c>
      <c r="F11" s="47"/>
      <c r="G11" s="47"/>
    </row>
    <row r="12" spans="1:7">
      <c r="A12" s="47"/>
      <c r="B12" s="91" t="s">
        <v>11</v>
      </c>
      <c r="C12" s="91"/>
      <c r="D12" s="50">
        <v>20</v>
      </c>
      <c r="E12" s="49" t="s">
        <v>137</v>
      </c>
      <c r="F12" s="47"/>
      <c r="G12" s="47"/>
    </row>
    <row r="13" spans="1:7">
      <c r="A13" s="47"/>
      <c r="B13" s="91" t="s">
        <v>138</v>
      </c>
      <c r="C13" s="91"/>
      <c r="D13" s="50">
        <v>0</v>
      </c>
      <c r="E13" s="49" t="s">
        <v>131</v>
      </c>
      <c r="F13" s="47"/>
      <c r="G13" s="47"/>
    </row>
    <row r="14" spans="1:7">
      <c r="A14" s="47"/>
      <c r="B14" s="91" t="s">
        <v>139</v>
      </c>
      <c r="C14" s="91"/>
      <c r="D14" s="50">
        <v>60</v>
      </c>
      <c r="E14" s="49" t="s">
        <v>140</v>
      </c>
      <c r="F14" s="47"/>
      <c r="G14" s="47"/>
    </row>
    <row r="15" spans="1:7">
      <c r="A15" s="47"/>
      <c r="B15" s="91" t="s">
        <v>141</v>
      </c>
      <c r="C15" s="91"/>
      <c r="D15" s="50">
        <v>0</v>
      </c>
      <c r="E15" s="49" t="s">
        <v>142</v>
      </c>
      <c r="F15" s="47"/>
      <c r="G15" s="47"/>
    </row>
    <row r="16" spans="1:7">
      <c r="A16" s="47"/>
      <c r="B16" s="91" t="s">
        <v>25</v>
      </c>
      <c r="C16" s="91"/>
      <c r="D16" s="50">
        <v>0</v>
      </c>
      <c r="E16" s="49" t="s">
        <v>143</v>
      </c>
      <c r="F16" s="47"/>
      <c r="G16" s="47"/>
    </row>
    <row r="17" spans="1:7">
      <c r="A17" s="47"/>
      <c r="B17" s="91" t="s">
        <v>19</v>
      </c>
      <c r="C17" s="91"/>
      <c r="D17" s="48">
        <v>4</v>
      </c>
      <c r="E17" s="49" t="s">
        <v>144</v>
      </c>
      <c r="F17" s="47"/>
      <c r="G17" s="47"/>
    </row>
    <row r="18" spans="1:7">
      <c r="A18" s="47"/>
      <c r="B18" s="91" t="s">
        <v>21</v>
      </c>
      <c r="C18" s="91"/>
      <c r="D18" s="50">
        <v>0</v>
      </c>
      <c r="E18" s="49" t="s">
        <v>145</v>
      </c>
      <c r="F18" s="47"/>
      <c r="G18" s="47"/>
    </row>
    <row r="19" spans="1:7">
      <c r="A19" s="47"/>
      <c r="B19" s="91" t="s">
        <v>146</v>
      </c>
      <c r="C19" s="91"/>
      <c r="D19" s="52">
        <v>0.2</v>
      </c>
      <c r="E19" s="49" t="s">
        <v>147</v>
      </c>
      <c r="F19" s="47"/>
      <c r="G19" s="47"/>
    </row>
    <row r="20" spans="1:7">
      <c r="A20" s="47"/>
      <c r="B20" s="91" t="s">
        <v>164</v>
      </c>
      <c r="C20" s="91"/>
      <c r="D20" s="52">
        <v>0.8</v>
      </c>
      <c r="E20" s="49" t="s">
        <v>147</v>
      </c>
      <c r="F20" s="47"/>
      <c r="G20" s="47"/>
    </row>
    <row r="21" spans="1:7" ht="5.25" customHeight="1">
      <c r="A21" s="47"/>
      <c r="B21" s="47"/>
      <c r="C21" s="47"/>
      <c r="D21" s="47"/>
      <c r="E21" s="47"/>
      <c r="F21" s="47"/>
      <c r="G21" s="53"/>
    </row>
    <row r="22" spans="1:7">
      <c r="A22" s="46" t="s">
        <v>37</v>
      </c>
      <c r="B22" s="47"/>
      <c r="C22" s="47"/>
      <c r="D22" s="47"/>
      <c r="E22" s="47"/>
      <c r="F22" s="47"/>
      <c r="G22" s="47"/>
    </row>
    <row r="23" spans="1:7" ht="5.25" customHeight="1">
      <c r="A23" s="47"/>
      <c r="B23" s="47"/>
      <c r="C23" s="47"/>
      <c r="D23" s="47"/>
      <c r="E23" s="47"/>
      <c r="F23" s="47"/>
      <c r="G23" s="47"/>
    </row>
    <row r="24" spans="1:7">
      <c r="A24" s="47"/>
      <c r="B24" s="54"/>
      <c r="C24" s="54"/>
      <c r="D24" s="54"/>
      <c r="E24" s="55" t="s">
        <v>40</v>
      </c>
      <c r="F24" s="54"/>
      <c r="G24" s="54"/>
    </row>
    <row r="25" spans="1:7">
      <c r="A25" s="49" t="s">
        <v>41</v>
      </c>
      <c r="B25" s="55" t="s">
        <v>42</v>
      </c>
      <c r="C25" s="55" t="s">
        <v>148</v>
      </c>
      <c r="D25" s="54"/>
      <c r="E25" s="55" t="s">
        <v>43</v>
      </c>
      <c r="F25" s="54"/>
      <c r="G25" s="55" t="s">
        <v>44</v>
      </c>
    </row>
    <row r="26" spans="1:7">
      <c r="A26" s="47"/>
      <c r="B26" s="47"/>
      <c r="C26" s="47"/>
      <c r="D26" s="47"/>
      <c r="E26" s="47"/>
      <c r="F26" s="47"/>
      <c r="G26" s="47"/>
    </row>
    <row r="27" spans="1:7">
      <c r="A27" s="47"/>
      <c r="B27" s="49" t="s">
        <v>160</v>
      </c>
      <c r="C27" s="56">
        <f>D17*2</f>
        <v>8</v>
      </c>
      <c r="D27" s="47"/>
      <c r="E27" s="57">
        <f>'Price List'!C3</f>
        <v>25</v>
      </c>
      <c r="F27" s="58" t="s">
        <v>45</v>
      </c>
      <c r="G27" s="59">
        <f>+E27*C27</f>
        <v>200</v>
      </c>
    </row>
    <row r="28" spans="1:7">
      <c r="A28" s="47"/>
      <c r="B28" s="49" t="s">
        <v>161</v>
      </c>
      <c r="C28" s="56">
        <f>3.2*C27</f>
        <v>25.6</v>
      </c>
      <c r="D28" s="47"/>
      <c r="E28" s="57">
        <f>'Price List'!C3</f>
        <v>25</v>
      </c>
      <c r="F28" s="58" t="s">
        <v>45</v>
      </c>
      <c r="G28" s="59">
        <f t="shared" ref="G28:G41" si="0">+E28*C28</f>
        <v>640</v>
      </c>
    </row>
    <row r="29" spans="1:7">
      <c r="A29" s="47"/>
      <c r="B29" s="49" t="s">
        <v>162</v>
      </c>
      <c r="C29" s="56">
        <f>C28</f>
        <v>25.6</v>
      </c>
      <c r="D29" s="47"/>
      <c r="E29" s="57">
        <f>'Price List'!D4</f>
        <v>16</v>
      </c>
      <c r="F29" s="58"/>
      <c r="G29" s="59"/>
    </row>
    <row r="30" spans="1:7">
      <c r="A30" s="47"/>
      <c r="B30" s="49" t="s">
        <v>220</v>
      </c>
      <c r="C30" s="56">
        <f>+D6*D7</f>
        <v>2640</v>
      </c>
      <c r="D30" s="60">
        <v>303.75</v>
      </c>
      <c r="E30" s="59">
        <f>D30/330</f>
        <v>0.92045454545454541</v>
      </c>
      <c r="F30" s="49" t="s">
        <v>47</v>
      </c>
      <c r="G30" s="59">
        <f t="shared" si="0"/>
        <v>2430</v>
      </c>
    </row>
    <row r="31" spans="1:7">
      <c r="A31" s="47"/>
      <c r="B31" s="49" t="s">
        <v>218</v>
      </c>
      <c r="C31" s="47">
        <f>D6*D11</f>
        <v>2640</v>
      </c>
      <c r="D31" s="60">
        <v>84.99</v>
      </c>
      <c r="E31" s="59">
        <f>D31/1320</f>
        <v>6.438636363636363E-2</v>
      </c>
      <c r="F31" s="49" t="s">
        <v>47</v>
      </c>
      <c r="G31" s="59">
        <f t="shared" si="0"/>
        <v>169.98</v>
      </c>
    </row>
    <row r="32" spans="1:7">
      <c r="A32" s="47"/>
      <c r="B32" s="49" t="s">
        <v>163</v>
      </c>
      <c r="C32" s="56">
        <f>+((D6/D12)*D19)-C27</f>
        <v>18.400000000000002</v>
      </c>
      <c r="D32" s="47"/>
      <c r="E32" s="57">
        <f>'Price List'!D6</f>
        <v>10</v>
      </c>
      <c r="F32" s="49" t="s">
        <v>45</v>
      </c>
      <c r="G32" s="59">
        <f t="shared" si="0"/>
        <v>184.00000000000003</v>
      </c>
    </row>
    <row r="33" spans="1:7">
      <c r="A33" s="47"/>
      <c r="B33" s="49" t="str">
        <f>B20</f>
        <v xml:space="preserve">Steel T-posts 78" x 1.33" </v>
      </c>
      <c r="C33" s="56">
        <f>+(D6/D12)*D20</f>
        <v>105.60000000000001</v>
      </c>
      <c r="D33" s="47"/>
      <c r="E33" s="59">
        <f>'Price List'!D7</f>
        <v>5.84</v>
      </c>
      <c r="F33" s="49" t="s">
        <v>45</v>
      </c>
      <c r="G33" s="59">
        <f t="shared" si="0"/>
        <v>616.70400000000006</v>
      </c>
    </row>
    <row r="34" spans="1:7">
      <c r="A34" s="47"/>
      <c r="B34" s="49" t="s">
        <v>149</v>
      </c>
      <c r="C34" s="61">
        <v>0</v>
      </c>
      <c r="D34" s="47"/>
      <c r="E34" s="59">
        <v>1.05</v>
      </c>
      <c r="F34" s="49" t="s">
        <v>45</v>
      </c>
      <c r="G34" s="59">
        <f t="shared" si="0"/>
        <v>0</v>
      </c>
    </row>
    <row r="35" spans="1:7">
      <c r="A35" s="47"/>
      <c r="B35" s="49" t="s">
        <v>150</v>
      </c>
      <c r="C35" s="47">
        <f>+(D6*D10)+(D13*D6)+(C37*2)</f>
        <v>0</v>
      </c>
      <c r="D35" s="60">
        <v>142.75</v>
      </c>
      <c r="E35" s="59">
        <f>D35/4000</f>
        <v>3.5687499999999997E-2</v>
      </c>
      <c r="F35" s="49" t="s">
        <v>47</v>
      </c>
      <c r="G35" s="59">
        <f t="shared" si="0"/>
        <v>0</v>
      </c>
    </row>
    <row r="36" spans="1:7">
      <c r="B36" s="49" t="s">
        <v>151</v>
      </c>
      <c r="C36" s="17">
        <f>C35/60</f>
        <v>0</v>
      </c>
      <c r="E36" s="45">
        <v>4.75</v>
      </c>
      <c r="F36" s="49" t="s">
        <v>45</v>
      </c>
      <c r="G36" s="59">
        <f t="shared" si="0"/>
        <v>0</v>
      </c>
    </row>
    <row r="37" spans="1:7">
      <c r="A37" s="47"/>
      <c r="B37" s="49" t="s">
        <v>152</v>
      </c>
      <c r="C37" s="56">
        <f>(D9*2*(D17+D18)*D8)+(D10*2*(D17+D18))+(D13*(D17+D18)*2)</f>
        <v>0</v>
      </c>
      <c r="D37" s="47"/>
      <c r="E37" s="67">
        <f>'1-strand'!E38</f>
        <v>0.85</v>
      </c>
      <c r="F37" s="49" t="s">
        <v>45</v>
      </c>
      <c r="G37" s="59">
        <f t="shared" si="0"/>
        <v>0</v>
      </c>
    </row>
    <row r="38" spans="1:7">
      <c r="A38" s="47"/>
      <c r="B38" s="49" t="s">
        <v>153</v>
      </c>
      <c r="C38" s="47">
        <f>((D10*(D17+D18))+(D13*(D17+D18)))</f>
        <v>0</v>
      </c>
      <c r="D38" s="47"/>
      <c r="E38" s="67">
        <f>'1-strand'!E40</f>
        <v>5.5</v>
      </c>
      <c r="F38" s="49" t="s">
        <v>45</v>
      </c>
      <c r="G38" s="59">
        <f t="shared" si="0"/>
        <v>0</v>
      </c>
    </row>
    <row r="39" spans="1:7">
      <c r="A39" s="47"/>
      <c r="B39" s="49" t="s">
        <v>54</v>
      </c>
      <c r="C39" s="61">
        <f>((C37*6)+(C38*2))*1.2</f>
        <v>0</v>
      </c>
      <c r="D39" s="47"/>
      <c r="E39" s="67">
        <f>'1-strand'!E39</f>
        <v>0.23749999999999999</v>
      </c>
      <c r="F39" s="49" t="s">
        <v>45</v>
      </c>
      <c r="G39" s="59">
        <f t="shared" si="0"/>
        <v>0</v>
      </c>
    </row>
    <row r="40" spans="1:7">
      <c r="A40" s="47"/>
      <c r="B40" s="49" t="s">
        <v>56</v>
      </c>
      <c r="C40" s="47">
        <v>0</v>
      </c>
      <c r="D40" s="60"/>
      <c r="E40" s="67">
        <f>'1-strand'!E41</f>
        <v>0.28749999999999998</v>
      </c>
      <c r="F40" s="49" t="s">
        <v>47</v>
      </c>
      <c r="G40" s="59">
        <f>+E40*C40</f>
        <v>0</v>
      </c>
    </row>
    <row r="41" spans="1:7">
      <c r="A41" s="47"/>
      <c r="B41" s="49" t="s">
        <v>154</v>
      </c>
      <c r="C41" s="56">
        <v>0</v>
      </c>
      <c r="D41" s="47"/>
      <c r="E41" s="53">
        <v>10.5</v>
      </c>
      <c r="F41" s="49" t="s">
        <v>45</v>
      </c>
      <c r="G41" s="53">
        <f t="shared" si="0"/>
        <v>0</v>
      </c>
    </row>
    <row r="42" spans="1:7">
      <c r="A42" s="47"/>
      <c r="B42" s="47"/>
      <c r="C42" s="56"/>
      <c r="D42" s="47"/>
      <c r="E42" s="47"/>
      <c r="F42" s="47"/>
      <c r="G42" s="47"/>
    </row>
    <row r="43" spans="1:7">
      <c r="A43" s="47"/>
      <c r="B43" s="47"/>
      <c r="C43" s="56"/>
      <c r="D43" s="47"/>
      <c r="E43" s="47"/>
      <c r="F43" s="47"/>
      <c r="G43" s="47"/>
    </row>
    <row r="44" spans="1:7">
      <c r="A44" s="47"/>
      <c r="B44" s="47"/>
      <c r="C44" s="62" t="s">
        <v>155</v>
      </c>
      <c r="D44" s="47"/>
      <c r="E44" s="47"/>
      <c r="F44" s="47"/>
      <c r="G44" s="63">
        <f>SUM(G27:G41)</f>
        <v>4240.6840000000002</v>
      </c>
    </row>
    <row r="45" spans="1:7">
      <c r="A45" s="47"/>
      <c r="B45" s="47"/>
      <c r="C45" s="62" t="s">
        <v>156</v>
      </c>
      <c r="D45" s="47"/>
      <c r="E45" s="47"/>
      <c r="F45" s="47"/>
      <c r="G45" s="64">
        <f>G44/D6</f>
        <v>1.6063196969696971</v>
      </c>
    </row>
    <row r="46" spans="1:7">
      <c r="A46" s="47"/>
      <c r="B46" s="47"/>
      <c r="C46" s="62" t="s">
        <v>157</v>
      </c>
      <c r="D46" s="47"/>
      <c r="E46" s="47"/>
      <c r="F46" s="47"/>
      <c r="G46" s="63">
        <f>+G45*1320</f>
        <v>2120.3420000000001</v>
      </c>
    </row>
    <row r="47" spans="1:7">
      <c r="A47" s="47"/>
      <c r="B47" s="47"/>
      <c r="C47" s="62" t="s">
        <v>158</v>
      </c>
      <c r="D47" s="47"/>
      <c r="E47" s="47"/>
      <c r="F47" s="47"/>
      <c r="G47" s="63">
        <f>G44/D4</f>
        <v>26.504275</v>
      </c>
    </row>
  </sheetData>
  <mergeCells count="20">
    <mergeCell ref="B13:C13"/>
    <mergeCell ref="A1:G1"/>
    <mergeCell ref="B4:C4"/>
    <mergeCell ref="B5:C5"/>
    <mergeCell ref="B6:C6"/>
    <mergeCell ref="B7:C7"/>
    <mergeCell ref="B8:C8"/>
    <mergeCell ref="E8:G8"/>
    <mergeCell ref="B9:C9"/>
    <mergeCell ref="E9:G9"/>
    <mergeCell ref="B10:C10"/>
    <mergeCell ref="B11:C11"/>
    <mergeCell ref="B12:C12"/>
    <mergeCell ref="B20:C20"/>
    <mergeCell ref="B14:C14"/>
    <mergeCell ref="B15:C15"/>
    <mergeCell ref="B16:C16"/>
    <mergeCell ref="B17:C17"/>
    <mergeCell ref="B18:C18"/>
    <mergeCell ref="B19:C1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E73718-CCED-4A3D-B1CB-67C7584F66EF}">
  <dimension ref="A1:D31"/>
  <sheetViews>
    <sheetView workbookViewId="0">
      <selection activeCell="A12" sqref="A12"/>
    </sheetView>
  </sheetViews>
  <sheetFormatPr defaultRowHeight="14.4"/>
  <cols>
    <col min="1" max="1" width="43.5546875" customWidth="1"/>
  </cols>
  <sheetData>
    <row r="1" spans="1:4" s="44" customFormat="1">
      <c r="A1" s="44" t="s">
        <v>193</v>
      </c>
      <c r="B1" s="44" t="s">
        <v>194</v>
      </c>
      <c r="C1" s="44" t="s">
        <v>195</v>
      </c>
      <c r="D1" s="44" t="s">
        <v>196</v>
      </c>
    </row>
    <row r="2" spans="1:4">
      <c r="A2" s="7" t="s">
        <v>199</v>
      </c>
      <c r="B2" t="s">
        <v>45</v>
      </c>
      <c r="C2" s="45">
        <v>17</v>
      </c>
      <c r="D2" s="45">
        <f t="shared" ref="D2:D6" si="0">C2</f>
        <v>17</v>
      </c>
    </row>
    <row r="3" spans="1:4">
      <c r="A3" s="7" t="s">
        <v>198</v>
      </c>
      <c r="B3" t="s">
        <v>45</v>
      </c>
      <c r="C3" s="45">
        <v>25</v>
      </c>
      <c r="D3" s="45">
        <f t="shared" si="0"/>
        <v>25</v>
      </c>
    </row>
    <row r="4" spans="1:4">
      <c r="A4" s="7" t="s">
        <v>188</v>
      </c>
      <c r="B4" t="s">
        <v>45</v>
      </c>
      <c r="C4" s="45">
        <v>16</v>
      </c>
      <c r="D4" s="45">
        <f t="shared" si="0"/>
        <v>16</v>
      </c>
    </row>
    <row r="5" spans="1:4">
      <c r="A5" s="7" t="s">
        <v>200</v>
      </c>
      <c r="B5" t="s">
        <v>45</v>
      </c>
      <c r="C5" s="45">
        <v>8</v>
      </c>
      <c r="D5" s="45">
        <f t="shared" si="0"/>
        <v>8</v>
      </c>
    </row>
    <row r="6" spans="1:4">
      <c r="A6" s="7" t="s">
        <v>201</v>
      </c>
      <c r="B6" t="s">
        <v>45</v>
      </c>
      <c r="C6" s="45">
        <v>10</v>
      </c>
      <c r="D6" s="45">
        <f t="shared" si="0"/>
        <v>10</v>
      </c>
    </row>
    <row r="7" spans="1:4">
      <c r="A7" s="2" t="s">
        <v>202</v>
      </c>
      <c r="B7" t="s">
        <v>45</v>
      </c>
      <c r="C7" s="45">
        <v>5.84</v>
      </c>
      <c r="D7" s="45">
        <f>C7</f>
        <v>5.84</v>
      </c>
    </row>
    <row r="8" spans="1:4">
      <c r="A8" s="2" t="s">
        <v>197</v>
      </c>
      <c r="B8" t="s">
        <v>203</v>
      </c>
      <c r="C8" s="45">
        <v>129.3399</v>
      </c>
      <c r="D8" s="45">
        <f>C8/1320</f>
        <v>9.7984772727272726E-2</v>
      </c>
    </row>
    <row r="9" spans="1:4">
      <c r="A9" s="2" t="s">
        <v>210</v>
      </c>
      <c r="B9" t="s">
        <v>203</v>
      </c>
      <c r="C9" s="45">
        <v>84.99</v>
      </c>
      <c r="D9" s="45">
        <f>C9/1320</f>
        <v>6.438636363636363E-2</v>
      </c>
    </row>
    <row r="10" spans="1:4">
      <c r="A10" s="49" t="s">
        <v>209</v>
      </c>
      <c r="B10" t="s">
        <v>204</v>
      </c>
      <c r="C10" s="45">
        <v>259.99</v>
      </c>
      <c r="D10" s="45">
        <f>C10/330</f>
        <v>0.78784848484848491</v>
      </c>
    </row>
    <row r="11" spans="1:4">
      <c r="A11" s="49" t="s">
        <v>219</v>
      </c>
      <c r="B11" t="s">
        <v>204</v>
      </c>
      <c r="C11" s="45">
        <v>303.75</v>
      </c>
      <c r="D11" s="45">
        <f>C11/330</f>
        <v>0.92045454545454541</v>
      </c>
    </row>
    <row r="12" spans="1:4">
      <c r="A12" s="7" t="s">
        <v>98</v>
      </c>
      <c r="B12">
        <v>171</v>
      </c>
      <c r="C12" s="45">
        <v>26.99</v>
      </c>
      <c r="D12" s="45">
        <f>C12/B12</f>
        <v>0.15783625730994152</v>
      </c>
    </row>
    <row r="13" spans="1:4">
      <c r="A13" s="2" t="s">
        <v>59</v>
      </c>
      <c r="B13" t="s">
        <v>206</v>
      </c>
      <c r="C13" s="45">
        <v>3.99</v>
      </c>
      <c r="D13" s="45">
        <f>C13/55</f>
        <v>7.2545454545454552E-2</v>
      </c>
    </row>
    <row r="14" spans="1:4">
      <c r="A14" s="7"/>
      <c r="C14" s="45"/>
      <c r="D14" s="45"/>
    </row>
    <row r="15" spans="1:4">
      <c r="A15" s="2" t="s">
        <v>46</v>
      </c>
      <c r="B15" t="s">
        <v>207</v>
      </c>
      <c r="C15" s="45">
        <v>49.75</v>
      </c>
      <c r="D15" s="45">
        <f>C15/100</f>
        <v>0.4975</v>
      </c>
    </row>
    <row r="16" spans="1:4">
      <c r="A16" s="2" t="s">
        <v>52</v>
      </c>
      <c r="B16" t="s">
        <v>208</v>
      </c>
      <c r="C16" s="45">
        <v>149.75</v>
      </c>
      <c r="D16" s="68">
        <f>C16/4000</f>
        <v>3.7437499999999999E-2</v>
      </c>
    </row>
    <row r="17" spans="1:4">
      <c r="A17" s="2" t="s">
        <v>53</v>
      </c>
      <c r="B17">
        <v>10</v>
      </c>
      <c r="C17" s="45">
        <v>8.5</v>
      </c>
      <c r="D17" s="45">
        <f>C17/B17</f>
        <v>0.85</v>
      </c>
    </row>
    <row r="18" spans="1:4">
      <c r="A18" s="2" t="s">
        <v>54</v>
      </c>
      <c r="B18">
        <v>100</v>
      </c>
      <c r="C18" s="45">
        <v>23.75</v>
      </c>
      <c r="D18" s="45">
        <v>0.23749999999999999</v>
      </c>
    </row>
    <row r="19" spans="1:4">
      <c r="A19" s="2" t="s">
        <v>55</v>
      </c>
      <c r="B19" t="s">
        <v>45</v>
      </c>
      <c r="C19" s="45">
        <v>5.5</v>
      </c>
      <c r="D19" s="45">
        <v>5.5</v>
      </c>
    </row>
    <row r="20" spans="1:4">
      <c r="A20" s="2" t="s">
        <v>56</v>
      </c>
      <c r="B20" t="s">
        <v>205</v>
      </c>
      <c r="C20" s="45">
        <v>28.75</v>
      </c>
      <c r="D20" s="45">
        <v>0.28749999999999998</v>
      </c>
    </row>
    <row r="21" spans="1:4">
      <c r="A21" s="7" t="s">
        <v>57</v>
      </c>
      <c r="B21" t="s">
        <v>58</v>
      </c>
      <c r="C21" s="45">
        <v>3.5</v>
      </c>
      <c r="D21" s="45">
        <f>C21/50</f>
        <v>7.0000000000000007E-2</v>
      </c>
    </row>
    <row r="22" spans="1:4">
      <c r="A22" s="7" t="s">
        <v>190</v>
      </c>
      <c r="B22">
        <v>25</v>
      </c>
      <c r="C22" s="45">
        <v>13.75</v>
      </c>
      <c r="D22" s="45">
        <f>C22/B22</f>
        <v>0.55000000000000004</v>
      </c>
    </row>
    <row r="23" spans="1:4">
      <c r="A23" s="7" t="s">
        <v>76</v>
      </c>
      <c r="B23" t="s">
        <v>45</v>
      </c>
      <c r="C23" s="45"/>
      <c r="D23" s="45">
        <v>7.5</v>
      </c>
    </row>
    <row r="24" spans="1:4">
      <c r="A24" s="7" t="s">
        <v>83</v>
      </c>
      <c r="B24" t="s">
        <v>45</v>
      </c>
      <c r="C24" s="45"/>
      <c r="D24" s="45">
        <f>(D23/48)*54</f>
        <v>8.4375</v>
      </c>
    </row>
    <row r="25" spans="1:4">
      <c r="A25" s="7" t="s">
        <v>85</v>
      </c>
      <c r="B25" t="s">
        <v>45</v>
      </c>
      <c r="C25" s="45"/>
      <c r="D25" s="45">
        <f>(D23/48)*60</f>
        <v>9.375</v>
      </c>
    </row>
    <row r="26" spans="1:4">
      <c r="A26" s="7" t="s">
        <v>88</v>
      </c>
      <c r="B26" t="s">
        <v>45</v>
      </c>
      <c r="C26" s="45"/>
      <c r="D26" s="45">
        <f>(D23/48)*72</f>
        <v>11.25</v>
      </c>
    </row>
    <row r="27" spans="1:4">
      <c r="A27" s="7" t="s">
        <v>211</v>
      </c>
      <c r="B27">
        <v>25</v>
      </c>
      <c r="C27" s="45">
        <v>181.25</v>
      </c>
      <c r="D27" s="45">
        <f>C27/B27</f>
        <v>7.25</v>
      </c>
    </row>
    <row r="28" spans="1:4">
      <c r="A28" s="7" t="s">
        <v>212</v>
      </c>
      <c r="B28">
        <v>25</v>
      </c>
      <c r="C28" s="45">
        <v>200</v>
      </c>
      <c r="D28" s="45">
        <f t="shared" ref="D28:D30" si="1">C28/B28</f>
        <v>8</v>
      </c>
    </row>
    <row r="29" spans="1:4">
      <c r="A29" s="7" t="s">
        <v>213</v>
      </c>
      <c r="B29">
        <v>25</v>
      </c>
      <c r="C29" s="45">
        <v>218.75</v>
      </c>
      <c r="D29" s="45">
        <f t="shared" si="1"/>
        <v>8.75</v>
      </c>
    </row>
    <row r="30" spans="1:4">
      <c r="A30" s="7" t="s">
        <v>216</v>
      </c>
      <c r="B30">
        <v>25</v>
      </c>
      <c r="C30" s="45">
        <v>262.5</v>
      </c>
      <c r="D30" s="45">
        <f t="shared" si="1"/>
        <v>10.5</v>
      </c>
    </row>
    <row r="31" spans="1:4">
      <c r="A31" s="2" t="s">
        <v>74</v>
      </c>
      <c r="B31">
        <v>100</v>
      </c>
      <c r="C31" s="45">
        <v>10.75</v>
      </c>
      <c r="D31" s="45">
        <f>C31/B31</f>
        <v>0.1075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EF86B0-7FE6-4904-A4C9-5F388B187C2B}">
  <dimension ref="A1:H69"/>
  <sheetViews>
    <sheetView topLeftCell="A25" workbookViewId="0">
      <selection activeCell="J32" sqref="J32"/>
    </sheetView>
  </sheetViews>
  <sheetFormatPr defaultRowHeight="14.4"/>
  <cols>
    <col min="1" max="1" width="4.6640625" customWidth="1"/>
    <col min="2" max="2" width="40.88671875" customWidth="1"/>
    <col min="4" max="4" width="10.21875" customWidth="1"/>
    <col min="5" max="5" width="11" customWidth="1"/>
    <col min="7" max="7" width="11.109375" customWidth="1"/>
    <col min="8" max="8" width="40.44140625" customWidth="1"/>
  </cols>
  <sheetData>
    <row r="1" spans="1:8" ht="34.5" customHeight="1">
      <c r="A1" s="78" t="s">
        <v>185</v>
      </c>
      <c r="B1" s="79"/>
      <c r="C1" s="79"/>
      <c r="D1" s="79"/>
      <c r="E1" s="79"/>
      <c r="F1" s="79"/>
      <c r="G1" s="79"/>
      <c r="H1" s="80"/>
    </row>
    <row r="3" spans="1:8">
      <c r="A3" s="1" t="s">
        <v>0</v>
      </c>
    </row>
    <row r="4" spans="1:8" ht="15.6">
      <c r="B4" s="2" t="s">
        <v>1</v>
      </c>
      <c r="D4" s="3">
        <v>160</v>
      </c>
      <c r="E4" s="74" t="s">
        <v>2</v>
      </c>
      <c r="F4" s="75"/>
      <c r="G4" s="75"/>
      <c r="H4" s="75"/>
    </row>
    <row r="5" spans="1:8" ht="15.6">
      <c r="B5" s="2" t="s">
        <v>3</v>
      </c>
      <c r="D5" s="4">
        <v>1</v>
      </c>
      <c r="E5" s="74" t="s">
        <v>4</v>
      </c>
      <c r="F5" s="75"/>
      <c r="G5" s="75"/>
      <c r="H5" s="75"/>
    </row>
    <row r="6" spans="1:8" ht="15.6">
      <c r="B6" s="2" t="s">
        <v>5</v>
      </c>
      <c r="D6" s="5">
        <v>2640</v>
      </c>
      <c r="E6" s="74" t="s">
        <v>6</v>
      </c>
      <c r="F6" s="75"/>
      <c r="G6" s="75"/>
      <c r="H6" s="75"/>
    </row>
    <row r="7" spans="1:8" ht="15.6">
      <c r="B7" s="2" t="s">
        <v>7</v>
      </c>
      <c r="D7" s="4">
        <v>1</v>
      </c>
      <c r="E7" s="74" t="s">
        <v>8</v>
      </c>
      <c r="F7" s="75"/>
      <c r="G7" s="75"/>
      <c r="H7" s="75"/>
    </row>
    <row r="8" spans="1:8" ht="15.6">
      <c r="B8" s="2" t="s">
        <v>9</v>
      </c>
      <c r="D8" s="4">
        <v>1</v>
      </c>
      <c r="E8" s="74" t="s">
        <v>10</v>
      </c>
      <c r="F8" s="75"/>
      <c r="G8" s="75"/>
      <c r="H8" s="75"/>
    </row>
    <row r="9" spans="1:8" ht="15.6">
      <c r="B9" s="2" t="s">
        <v>11</v>
      </c>
      <c r="D9" s="4">
        <v>50</v>
      </c>
      <c r="E9" s="74" t="s">
        <v>12</v>
      </c>
      <c r="F9" s="75"/>
      <c r="G9" s="75"/>
      <c r="H9" s="75"/>
    </row>
    <row r="10" spans="1:8" ht="15.6">
      <c r="B10" s="2" t="s">
        <v>13</v>
      </c>
      <c r="D10" s="4">
        <v>1</v>
      </c>
      <c r="E10" s="74" t="s">
        <v>14</v>
      </c>
      <c r="F10" s="75"/>
      <c r="G10" s="75"/>
      <c r="H10" s="75"/>
    </row>
    <row r="11" spans="1:8" ht="15.6">
      <c r="B11" s="2" t="s">
        <v>15</v>
      </c>
      <c r="D11" s="4">
        <v>0</v>
      </c>
      <c r="E11" s="74" t="s">
        <v>16</v>
      </c>
      <c r="F11" s="75"/>
      <c r="G11" s="75"/>
      <c r="H11" s="75"/>
    </row>
    <row r="12" spans="1:8" ht="15.6">
      <c r="B12" s="2" t="s">
        <v>17</v>
      </c>
      <c r="D12" s="4">
        <v>0</v>
      </c>
      <c r="E12" s="74" t="s">
        <v>18</v>
      </c>
      <c r="F12" s="75"/>
      <c r="G12" s="75"/>
      <c r="H12" s="75"/>
    </row>
    <row r="13" spans="1:8" ht="15.6">
      <c r="B13" s="2" t="s">
        <v>19</v>
      </c>
      <c r="D13" s="4">
        <v>1</v>
      </c>
      <c r="E13" s="74" t="s">
        <v>20</v>
      </c>
      <c r="F13" s="75"/>
      <c r="G13" s="75"/>
      <c r="H13" s="75"/>
    </row>
    <row r="14" spans="1:8" ht="15.6">
      <c r="B14" s="2" t="s">
        <v>21</v>
      </c>
      <c r="D14" s="4">
        <v>0</v>
      </c>
      <c r="E14" s="74" t="s">
        <v>22</v>
      </c>
      <c r="F14" s="75"/>
      <c r="G14" s="75"/>
      <c r="H14" s="75"/>
    </row>
    <row r="15" spans="1:8" ht="15.6">
      <c r="B15" s="2" t="s">
        <v>23</v>
      </c>
      <c r="D15" s="4">
        <v>0</v>
      </c>
      <c r="E15" s="74" t="s">
        <v>24</v>
      </c>
      <c r="F15" s="75"/>
      <c r="G15" s="75"/>
      <c r="H15" s="75"/>
    </row>
    <row r="16" spans="1:8" ht="15.6">
      <c r="B16" s="2" t="s">
        <v>25</v>
      </c>
      <c r="D16" s="4">
        <v>0</v>
      </c>
      <c r="E16" s="74" t="s">
        <v>26</v>
      </c>
      <c r="F16" s="75"/>
      <c r="G16" s="75"/>
      <c r="H16" s="75"/>
    </row>
    <row r="17" spans="1:8" ht="15.6">
      <c r="B17" s="2" t="s">
        <v>27</v>
      </c>
      <c r="D17" s="4">
        <v>0</v>
      </c>
      <c r="E17" s="74" t="s">
        <v>28</v>
      </c>
      <c r="F17" s="75"/>
      <c r="G17" s="75"/>
      <c r="H17" s="75"/>
    </row>
    <row r="18" spans="1:8" ht="15.6">
      <c r="B18" s="2" t="s">
        <v>29</v>
      </c>
      <c r="D18" s="4">
        <v>0</v>
      </c>
      <c r="E18" s="74" t="s">
        <v>30</v>
      </c>
      <c r="F18" s="75"/>
      <c r="G18" s="75"/>
      <c r="H18" s="75"/>
    </row>
    <row r="19" spans="1:8" ht="15.6">
      <c r="B19" s="2" t="s">
        <v>31</v>
      </c>
      <c r="D19" s="4">
        <v>0</v>
      </c>
      <c r="E19" s="74" t="s">
        <v>32</v>
      </c>
      <c r="F19" s="75"/>
      <c r="G19" s="75"/>
      <c r="H19" s="75"/>
    </row>
    <row r="20" spans="1:8" ht="15.6">
      <c r="B20" s="2" t="s">
        <v>33</v>
      </c>
      <c r="D20" s="4">
        <v>0</v>
      </c>
      <c r="E20" s="74" t="s">
        <v>34</v>
      </c>
      <c r="F20" s="77"/>
      <c r="G20" s="77"/>
      <c r="H20" s="77"/>
    </row>
    <row r="21" spans="1:8" ht="15.6">
      <c r="B21" s="2" t="s">
        <v>35</v>
      </c>
      <c r="D21" s="6">
        <v>0.2</v>
      </c>
      <c r="E21" s="74" t="s">
        <v>36</v>
      </c>
      <c r="F21" s="75"/>
      <c r="G21" s="75"/>
      <c r="H21" s="75"/>
    </row>
    <row r="22" spans="1:8" ht="15.6">
      <c r="B22" s="2" t="s">
        <v>76</v>
      </c>
      <c r="D22" s="6">
        <v>0</v>
      </c>
      <c r="E22" s="74" t="s">
        <v>36</v>
      </c>
      <c r="F22" s="75"/>
      <c r="G22" s="75"/>
      <c r="H22" s="75"/>
    </row>
    <row r="23" spans="1:8" ht="15.6">
      <c r="B23" s="7" t="s">
        <v>77</v>
      </c>
      <c r="D23" s="6">
        <v>0.8</v>
      </c>
      <c r="E23" s="74" t="s">
        <v>36</v>
      </c>
      <c r="F23" s="75"/>
      <c r="G23" s="75"/>
      <c r="H23" s="75"/>
    </row>
    <row r="24" spans="1:8" ht="15.6">
      <c r="B24" s="7" t="s">
        <v>78</v>
      </c>
      <c r="D24" s="6">
        <v>0</v>
      </c>
      <c r="E24" s="74" t="s">
        <v>36</v>
      </c>
      <c r="F24" s="75"/>
      <c r="G24" s="75"/>
      <c r="H24" s="75"/>
    </row>
    <row r="25" spans="1:8">
      <c r="H25" s="8"/>
    </row>
    <row r="26" spans="1:8">
      <c r="A26" s="1" t="s">
        <v>37</v>
      </c>
      <c r="H26" s="8"/>
    </row>
    <row r="27" spans="1:8">
      <c r="A27" s="9" t="s">
        <v>38</v>
      </c>
      <c r="B27" s="9"/>
      <c r="C27" s="81" t="s">
        <v>39</v>
      </c>
      <c r="D27" s="9"/>
      <c r="E27" s="10" t="s">
        <v>40</v>
      </c>
      <c r="F27" s="9"/>
      <c r="G27" s="9"/>
      <c r="H27" s="8"/>
    </row>
    <row r="28" spans="1:8">
      <c r="A28" s="2" t="s">
        <v>41</v>
      </c>
      <c r="B28" s="10" t="s">
        <v>42</v>
      </c>
      <c r="C28" s="82"/>
      <c r="D28" s="9"/>
      <c r="E28" s="10" t="s">
        <v>43</v>
      </c>
      <c r="F28" s="9"/>
      <c r="G28" s="10" t="s">
        <v>44</v>
      </c>
      <c r="H28" s="8"/>
    </row>
    <row r="29" spans="1:8" ht="12" customHeight="1">
      <c r="B29" s="7" t="s">
        <v>186</v>
      </c>
      <c r="C29" s="11">
        <f>(D13*2)+(D14*3)</f>
        <v>2</v>
      </c>
      <c r="E29" s="69">
        <f>'Price List'!D2</f>
        <v>17</v>
      </c>
      <c r="F29" s="13" t="s">
        <v>45</v>
      </c>
      <c r="G29" s="14">
        <f t="shared" ref="G29:G41" si="0">E29*C29</f>
        <v>34</v>
      </c>
      <c r="H29" s="83" t="s">
        <v>191</v>
      </c>
    </row>
    <row r="30" spans="1:8" ht="12" customHeight="1">
      <c r="B30" s="7" t="s">
        <v>187</v>
      </c>
      <c r="C30" s="11">
        <f>($D$13*2*$D$12)+($D$14*4*$D$12)</f>
        <v>0</v>
      </c>
      <c r="E30" s="69">
        <f>'Price List'!D5</f>
        <v>8</v>
      </c>
      <c r="F30" s="13" t="s">
        <v>45</v>
      </c>
      <c r="G30" s="14">
        <f t="shared" si="0"/>
        <v>0</v>
      </c>
      <c r="H30" s="84"/>
    </row>
    <row r="31" spans="1:8" ht="12" customHeight="1">
      <c r="B31" s="7" t="s">
        <v>188</v>
      </c>
      <c r="C31" s="11">
        <f>(C30)+($D$11*$D$13*2)+($D$11*$D$14*4)</f>
        <v>0</v>
      </c>
      <c r="E31" s="69">
        <f>'Price List'!D4</f>
        <v>16</v>
      </c>
      <c r="F31" s="13" t="s">
        <v>45</v>
      </c>
      <c r="G31" s="14">
        <f t="shared" si="0"/>
        <v>0</v>
      </c>
      <c r="H31" s="84"/>
    </row>
    <row r="32" spans="1:8" ht="12" customHeight="1">
      <c r="B32" s="2" t="s">
        <v>46</v>
      </c>
      <c r="C32" s="11">
        <f>(D15+(D18*4))*0.5</f>
        <v>0</v>
      </c>
      <c r="E32" s="69">
        <f>'Price List'!D15</f>
        <v>0.4975</v>
      </c>
      <c r="F32" s="13" t="s">
        <v>47</v>
      </c>
      <c r="G32" s="14">
        <f t="shared" si="0"/>
        <v>0</v>
      </c>
      <c r="H32" s="84"/>
    </row>
    <row r="33" spans="2:8" ht="12" customHeight="1">
      <c r="B33" s="2" t="s">
        <v>48</v>
      </c>
      <c r="C33" s="11">
        <f>D15+(D18*3)</f>
        <v>0</v>
      </c>
      <c r="E33" s="12">
        <v>5</v>
      </c>
      <c r="F33" s="2" t="s">
        <v>45</v>
      </c>
      <c r="G33" s="14">
        <f t="shared" si="0"/>
        <v>0</v>
      </c>
      <c r="H33" s="84"/>
    </row>
    <row r="34" spans="2:8" ht="12" customHeight="1">
      <c r="B34" s="7" t="s">
        <v>49</v>
      </c>
      <c r="C34" s="11">
        <f>C33*D7</f>
        <v>0</v>
      </c>
      <c r="E34" s="12">
        <v>0.4</v>
      </c>
      <c r="F34" s="2" t="s">
        <v>45</v>
      </c>
      <c r="G34" s="14">
        <f t="shared" si="0"/>
        <v>0</v>
      </c>
      <c r="H34" s="84"/>
    </row>
    <row r="35" spans="2:8" ht="12" customHeight="1">
      <c r="B35" s="7" t="s">
        <v>50</v>
      </c>
      <c r="C35" s="11">
        <f>((D15*D16*D7)+(D18*D19*D7*3))</f>
        <v>0</v>
      </c>
      <c r="E35" s="12">
        <f>109.5/660</f>
        <v>0.16590909090909092</v>
      </c>
      <c r="F35" s="2" t="s">
        <v>45</v>
      </c>
      <c r="G35" s="14">
        <f t="shared" si="0"/>
        <v>0</v>
      </c>
      <c r="H35" s="84"/>
    </row>
    <row r="36" spans="2:8" ht="12" customHeight="1">
      <c r="B36" s="2" t="s">
        <v>51</v>
      </c>
      <c r="C36" s="11">
        <v>1</v>
      </c>
      <c r="E36" s="12">
        <v>6.75</v>
      </c>
      <c r="F36" s="2" t="s">
        <v>45</v>
      </c>
      <c r="G36" s="14">
        <f t="shared" si="0"/>
        <v>6.75</v>
      </c>
      <c r="H36" s="84"/>
    </row>
    <row r="37" spans="2:8" ht="12" customHeight="1">
      <c r="B37" s="2" t="s">
        <v>52</v>
      </c>
      <c r="C37" s="11">
        <f>($D$6*$D$7)+(C31*20)</f>
        <v>2640</v>
      </c>
      <c r="D37" s="15">
        <f>'Price List'!C16</f>
        <v>149.75</v>
      </c>
      <c r="E37" s="16">
        <f>D37/4000</f>
        <v>3.7437499999999999E-2</v>
      </c>
      <c r="F37" s="2" t="s">
        <v>47</v>
      </c>
      <c r="G37" s="14">
        <f t="shared" si="0"/>
        <v>98.834999999999994</v>
      </c>
      <c r="H37" s="84"/>
    </row>
    <row r="38" spans="2:8" ht="12" customHeight="1">
      <c r="B38" s="2" t="s">
        <v>53</v>
      </c>
      <c r="C38">
        <f>(D13*D8*2)+(D14*D8*2)</f>
        <v>2</v>
      </c>
      <c r="E38" s="69">
        <f>'Price List'!D17</f>
        <v>0.85</v>
      </c>
      <c r="F38" s="2" t="s">
        <v>45</v>
      </c>
      <c r="G38" s="14">
        <f t="shared" si="0"/>
        <v>1.7</v>
      </c>
      <c r="H38" s="84"/>
    </row>
    <row r="39" spans="2:8" ht="12" customHeight="1">
      <c r="B39" s="2" t="s">
        <v>54</v>
      </c>
      <c r="C39" s="17">
        <f>((((($D$13+$D$14)*$D$7)*12))+(C40*2)+(C33*2))*1.2</f>
        <v>19.2</v>
      </c>
      <c r="E39" s="69">
        <f>'Price List'!D18</f>
        <v>0.23749999999999999</v>
      </c>
      <c r="F39" s="2" t="s">
        <v>45</v>
      </c>
      <c r="G39" s="14">
        <f t="shared" si="0"/>
        <v>4.5599999999999996</v>
      </c>
      <c r="H39" s="84"/>
    </row>
    <row r="40" spans="2:8" ht="12" customHeight="1">
      <c r="B40" s="2" t="s">
        <v>55</v>
      </c>
      <c r="C40" s="17">
        <f>((($D$13+$D$14)*$D$7)*(D6/1320))+C31</f>
        <v>2</v>
      </c>
      <c r="E40" s="69">
        <f>'Price List'!D19</f>
        <v>5.5</v>
      </c>
      <c r="F40" s="2" t="s">
        <v>45</v>
      </c>
      <c r="G40" s="14">
        <f t="shared" si="0"/>
        <v>11</v>
      </c>
      <c r="H40" s="84"/>
    </row>
    <row r="41" spans="2:8" ht="12" customHeight="1">
      <c r="B41" s="2" t="s">
        <v>56</v>
      </c>
      <c r="C41" s="11">
        <f>(D18*((D19+8)*2)*D20)+(D17*(D16+8))</f>
        <v>0</v>
      </c>
      <c r="E41" s="69">
        <f>'Price List'!D20</f>
        <v>0.28749999999999998</v>
      </c>
      <c r="F41" s="2" t="s">
        <v>47</v>
      </c>
      <c r="G41" s="14">
        <f t="shared" si="0"/>
        <v>0</v>
      </c>
      <c r="H41" s="84"/>
    </row>
    <row r="42" spans="2:8" ht="12" customHeight="1">
      <c r="B42" s="7" t="s">
        <v>57</v>
      </c>
      <c r="C42" s="11">
        <f>(C45*2)+(C36*4)</f>
        <v>24.32</v>
      </c>
      <c r="D42" s="18">
        <f>C42/50</f>
        <v>0.4864</v>
      </c>
      <c r="E42" s="69">
        <f>'Price List'!C21</f>
        <v>3.5</v>
      </c>
      <c r="F42" s="2" t="s">
        <v>58</v>
      </c>
      <c r="G42" s="14">
        <f>E42*D42</f>
        <v>1.7023999999999999</v>
      </c>
      <c r="H42" s="84"/>
    </row>
    <row r="43" spans="2:8" ht="12" customHeight="1">
      <c r="B43" s="2" t="s">
        <v>59</v>
      </c>
      <c r="C43" s="11">
        <f>((C29+C30)*$D$7)+(C31*2)+(C33*2)+10</f>
        <v>12</v>
      </c>
      <c r="D43" s="18">
        <f>C43/55</f>
        <v>0.21818181818181817</v>
      </c>
      <c r="E43" s="69">
        <f>'Price List'!C13</f>
        <v>3.99</v>
      </c>
      <c r="F43" s="2" t="s">
        <v>58</v>
      </c>
      <c r="G43" s="14">
        <f>E43*D43</f>
        <v>0.87054545454545451</v>
      </c>
      <c r="H43" s="84"/>
    </row>
    <row r="44" spans="2:8" ht="12" customHeight="1">
      <c r="B44" s="7" t="s">
        <v>189</v>
      </c>
      <c r="C44" s="11">
        <f>(($D$6/$D$9)-$C$29)*D21</f>
        <v>10.16</v>
      </c>
      <c r="E44" s="69">
        <f>'Price List'!D5</f>
        <v>8</v>
      </c>
      <c r="F44" s="2" t="s">
        <v>45</v>
      </c>
      <c r="G44" s="14">
        <f t="shared" ref="G44:G49" si="1">E44*C44</f>
        <v>81.28</v>
      </c>
      <c r="H44" s="84"/>
    </row>
    <row r="45" spans="2:8" ht="12" customHeight="1">
      <c r="B45" s="7" t="s">
        <v>190</v>
      </c>
      <c r="C45" s="11">
        <f>(C30*$D$8)+($D$8*C44)</f>
        <v>10.16</v>
      </c>
      <c r="E45" s="69">
        <f>'Price List'!D22</f>
        <v>0.55000000000000004</v>
      </c>
      <c r="F45" s="2" t="s">
        <v>45</v>
      </c>
      <c r="G45" s="14">
        <f>E45*C45</f>
        <v>5.588000000000001</v>
      </c>
      <c r="H45" s="84"/>
    </row>
    <row r="46" spans="2:8" ht="12" customHeight="1">
      <c r="B46" s="7" t="str">
        <f>B22</f>
        <v>FIBERGLASS SUCKERROD 1.25" x 48"</v>
      </c>
      <c r="C46" s="11">
        <f>(($D$6/$D$9)-$C$29)*D22</f>
        <v>0</v>
      </c>
      <c r="E46" s="69">
        <f>'Price List'!D23</f>
        <v>7.5</v>
      </c>
      <c r="F46" s="2"/>
      <c r="G46" s="14">
        <f>E46*C46</f>
        <v>0</v>
      </c>
      <c r="H46" s="84"/>
    </row>
    <row r="47" spans="2:8" ht="12" customHeight="1">
      <c r="B47" s="7" t="str">
        <f>B23</f>
        <v>PASTURE PRO WPC  LINEPOST 1.125" X 48"</v>
      </c>
      <c r="C47" s="11">
        <f>(($D$6/$D$9)-$C$29)*D23</f>
        <v>40.64</v>
      </c>
      <c r="E47" s="69">
        <f>'Price List'!D27</f>
        <v>7.25</v>
      </c>
      <c r="F47" s="2" t="s">
        <v>45</v>
      </c>
      <c r="G47" s="19">
        <f t="shared" si="1"/>
        <v>294.64</v>
      </c>
      <c r="H47" s="84"/>
    </row>
    <row r="48" spans="2:8" ht="12" customHeight="1">
      <c r="B48" s="2" t="s">
        <v>74</v>
      </c>
      <c r="C48" s="11">
        <f>(C47*D7)</f>
        <v>40.64</v>
      </c>
      <c r="E48" s="16">
        <f>'Price List'!D31</f>
        <v>0.1075</v>
      </c>
      <c r="F48" s="2" t="s">
        <v>45</v>
      </c>
      <c r="G48" s="14">
        <f>E48*C48</f>
        <v>4.3688000000000002</v>
      </c>
      <c r="H48" s="84"/>
    </row>
    <row r="49" spans="2:8" ht="12" customHeight="1">
      <c r="B49" s="7" t="str">
        <f>B24</f>
        <v>TIMELESS FENCE POLY-T POST 1.5" X 48"</v>
      </c>
      <c r="C49" s="11">
        <f>(($D$6/$D$9)-$C$29)*D24</f>
        <v>0</v>
      </c>
      <c r="E49" s="69">
        <f>'Price List'!D27</f>
        <v>7.25</v>
      </c>
      <c r="F49" s="2" t="s">
        <v>45</v>
      </c>
      <c r="G49" s="14">
        <f t="shared" si="1"/>
        <v>0</v>
      </c>
      <c r="H49" s="84"/>
    </row>
    <row r="50" spans="2:8" ht="12.75" customHeight="1">
      <c r="H50" s="85"/>
    </row>
    <row r="51" spans="2:8">
      <c r="C51" s="20" t="s">
        <v>60</v>
      </c>
      <c r="D51" s="9"/>
      <c r="E51" s="9"/>
      <c r="F51" s="9"/>
      <c r="G51" s="21">
        <f>SUM(G29:G49)</f>
        <v>545.29474545454536</v>
      </c>
      <c r="H51" s="86" t="s">
        <v>75</v>
      </c>
    </row>
    <row r="52" spans="2:8">
      <c r="C52" s="20" t="s">
        <v>61</v>
      </c>
      <c r="D52" s="9"/>
      <c r="E52" s="9"/>
      <c r="F52" s="9"/>
      <c r="G52" s="22">
        <f>G51/$D$6</f>
        <v>0.20655103994490354</v>
      </c>
      <c r="H52" s="86"/>
    </row>
    <row r="53" spans="2:8">
      <c r="C53" s="20" t="s">
        <v>62</v>
      </c>
      <c r="D53" s="9"/>
      <c r="E53" s="9"/>
      <c r="F53" s="9"/>
      <c r="G53" s="23">
        <f>G52*1320</f>
        <v>272.64737272727268</v>
      </c>
      <c r="H53" s="86"/>
    </row>
    <row r="54" spans="2:8">
      <c r="C54" s="20" t="s">
        <v>63</v>
      </c>
      <c r="D54" s="9"/>
      <c r="E54" s="9"/>
      <c r="F54" s="9"/>
      <c r="G54" s="23">
        <f>G51/$D$4</f>
        <v>3.4080921590909083</v>
      </c>
      <c r="H54" s="86"/>
    </row>
    <row r="55" spans="2:8">
      <c r="H55" s="8"/>
    </row>
    <row r="56" spans="2:8" ht="15.6">
      <c r="B56" s="27" t="s">
        <v>68</v>
      </c>
      <c r="C56" s="29">
        <v>3</v>
      </c>
      <c r="D56" s="30" t="s">
        <v>70</v>
      </c>
    </row>
    <row r="57" spans="2:8">
      <c r="B57" t="s">
        <v>79</v>
      </c>
      <c r="C57" s="25">
        <v>1</v>
      </c>
      <c r="E57" s="24">
        <v>535</v>
      </c>
      <c r="F57" t="s">
        <v>45</v>
      </c>
      <c r="G57" s="14">
        <f t="shared" ref="G57:G64" si="2">E57*C57</f>
        <v>535</v>
      </c>
      <c r="H57" s="76" t="s">
        <v>80</v>
      </c>
    </row>
    <row r="58" spans="2:8">
      <c r="B58" t="s">
        <v>81</v>
      </c>
      <c r="C58" s="25">
        <v>0</v>
      </c>
      <c r="E58" s="24">
        <v>125</v>
      </c>
      <c r="F58" t="s">
        <v>45</v>
      </c>
      <c r="G58" s="14">
        <f t="shared" si="2"/>
        <v>0</v>
      </c>
      <c r="H58" s="76"/>
    </row>
    <row r="59" spans="2:8">
      <c r="B59" t="s">
        <v>64</v>
      </c>
      <c r="C59" s="25">
        <v>0</v>
      </c>
      <c r="E59" s="24">
        <v>25.75</v>
      </c>
      <c r="F59" t="s">
        <v>45</v>
      </c>
      <c r="G59" s="14">
        <f t="shared" si="2"/>
        <v>0</v>
      </c>
      <c r="H59" s="76"/>
    </row>
    <row r="60" spans="2:8">
      <c r="B60" t="s">
        <v>82</v>
      </c>
      <c r="C60" s="25">
        <v>1</v>
      </c>
      <c r="E60" s="24">
        <v>125</v>
      </c>
      <c r="G60" s="14">
        <f t="shared" si="2"/>
        <v>125</v>
      </c>
      <c r="H60" s="76"/>
    </row>
    <row r="61" spans="2:8">
      <c r="B61" t="s">
        <v>65</v>
      </c>
      <c r="C61" s="25">
        <v>3</v>
      </c>
      <c r="E61" s="24">
        <v>12.75</v>
      </c>
      <c r="F61" t="s">
        <v>45</v>
      </c>
      <c r="G61" s="14">
        <f t="shared" si="2"/>
        <v>38.25</v>
      </c>
      <c r="H61" s="76"/>
    </row>
    <row r="62" spans="2:8">
      <c r="B62" t="s">
        <v>66</v>
      </c>
      <c r="C62" s="25">
        <v>3</v>
      </c>
      <c r="E62" s="24">
        <v>1.95</v>
      </c>
      <c r="F62" t="s">
        <v>45</v>
      </c>
      <c r="G62" s="14">
        <f t="shared" si="2"/>
        <v>5.85</v>
      </c>
      <c r="H62" s="76"/>
    </row>
    <row r="63" spans="2:8">
      <c r="B63" t="s">
        <v>67</v>
      </c>
      <c r="C63" s="25">
        <v>1</v>
      </c>
      <c r="E63" s="24">
        <v>8.25</v>
      </c>
      <c r="F63" t="s">
        <v>45</v>
      </c>
      <c r="G63" s="14">
        <f t="shared" si="2"/>
        <v>8.25</v>
      </c>
      <c r="H63" s="76"/>
    </row>
    <row r="64" spans="2:8">
      <c r="B64" t="s">
        <v>56</v>
      </c>
      <c r="C64" s="25">
        <v>40</v>
      </c>
      <c r="E64" s="26">
        <v>0.22</v>
      </c>
      <c r="F64" t="s">
        <v>47</v>
      </c>
      <c r="G64" s="14">
        <f t="shared" si="2"/>
        <v>8.8000000000000007</v>
      </c>
      <c r="H64" s="76"/>
    </row>
    <row r="66" spans="4:7">
      <c r="D66" s="73" t="s">
        <v>69</v>
      </c>
      <c r="E66" s="73"/>
      <c r="F66" s="73"/>
      <c r="G66" s="28">
        <f>SUM(G57:G64)</f>
        <v>721.15</v>
      </c>
    </row>
    <row r="67" spans="4:7">
      <c r="D67" s="73" t="s">
        <v>71</v>
      </c>
      <c r="E67" s="73"/>
      <c r="F67" s="73"/>
      <c r="G67" s="28">
        <f>G66/15840</f>
        <v>4.5527146464646465E-2</v>
      </c>
    </row>
    <row r="68" spans="4:7">
      <c r="D68" s="73" t="s">
        <v>72</v>
      </c>
      <c r="E68" s="73"/>
      <c r="F68" s="73"/>
      <c r="G68" s="28">
        <f>G67*1320</f>
        <v>60.095833333333331</v>
      </c>
    </row>
    <row r="69" spans="4:7">
      <c r="D69" s="73" t="s">
        <v>73</v>
      </c>
      <c r="E69" s="73"/>
      <c r="F69" s="73"/>
      <c r="G69" s="28">
        <f>G66/D4</f>
        <v>4.5071874999999997</v>
      </c>
    </row>
  </sheetData>
  <mergeCells count="30">
    <mergeCell ref="C27:C28"/>
    <mergeCell ref="H29:H50"/>
    <mergeCell ref="E18:H18"/>
    <mergeCell ref="E19:H19"/>
    <mergeCell ref="H51:H54"/>
    <mergeCell ref="E21:H21"/>
    <mergeCell ref="E22:H22"/>
    <mergeCell ref="E23:H23"/>
    <mergeCell ref="E24:H24"/>
    <mergeCell ref="A1:H1"/>
    <mergeCell ref="E4:H4"/>
    <mergeCell ref="E5:H5"/>
    <mergeCell ref="E6:H6"/>
    <mergeCell ref="E7:H7"/>
    <mergeCell ref="D69:F69"/>
    <mergeCell ref="E8:H8"/>
    <mergeCell ref="D66:F66"/>
    <mergeCell ref="H57:H64"/>
    <mergeCell ref="D67:F67"/>
    <mergeCell ref="D68:F68"/>
    <mergeCell ref="E20:H20"/>
    <mergeCell ref="E9:H9"/>
    <mergeCell ref="E10:H10"/>
    <mergeCell ref="E11:H11"/>
    <mergeCell ref="E12:H12"/>
    <mergeCell ref="E13:H13"/>
    <mergeCell ref="E14:H14"/>
    <mergeCell ref="E15:H15"/>
    <mergeCell ref="E16:H16"/>
    <mergeCell ref="E17:H17"/>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9B4015-D8E4-4469-A645-9687671EBB2F}">
  <dimension ref="A1:H69"/>
  <sheetViews>
    <sheetView topLeftCell="A25" workbookViewId="0">
      <selection activeCell="B49" sqref="B49"/>
    </sheetView>
  </sheetViews>
  <sheetFormatPr defaultRowHeight="14.4"/>
  <cols>
    <col min="1" max="1" width="4.6640625" customWidth="1"/>
    <col min="2" max="2" width="40.88671875" customWidth="1"/>
    <col min="4" max="4" width="10.21875" customWidth="1"/>
    <col min="5" max="5" width="11" customWidth="1"/>
    <col min="7" max="7" width="11.109375" customWidth="1"/>
    <col min="8" max="8" width="40.44140625" customWidth="1"/>
  </cols>
  <sheetData>
    <row r="1" spans="1:8" ht="34.5" customHeight="1">
      <c r="A1" s="78" t="s">
        <v>184</v>
      </c>
      <c r="B1" s="79"/>
      <c r="C1" s="79"/>
      <c r="D1" s="79"/>
      <c r="E1" s="79"/>
      <c r="F1" s="79"/>
      <c r="G1" s="79"/>
      <c r="H1" s="80"/>
    </row>
    <row r="3" spans="1:8">
      <c r="A3" s="1" t="s">
        <v>0</v>
      </c>
    </row>
    <row r="4" spans="1:8" ht="15.6">
      <c r="B4" s="2" t="s">
        <v>1</v>
      </c>
      <c r="D4" s="3">
        <v>160</v>
      </c>
      <c r="E4" s="74" t="s">
        <v>2</v>
      </c>
      <c r="F4" s="75"/>
      <c r="G4" s="75"/>
      <c r="H4" s="75"/>
    </row>
    <row r="5" spans="1:8" ht="15.6">
      <c r="B5" s="2" t="s">
        <v>3</v>
      </c>
      <c r="D5" s="4">
        <v>1</v>
      </c>
      <c r="E5" s="74" t="s">
        <v>4</v>
      </c>
      <c r="F5" s="75"/>
      <c r="G5" s="75"/>
      <c r="H5" s="75"/>
    </row>
    <row r="6" spans="1:8" ht="15.6">
      <c r="B6" s="2" t="s">
        <v>5</v>
      </c>
      <c r="D6" s="5">
        <v>2640</v>
      </c>
      <c r="E6" s="74" t="s">
        <v>6</v>
      </c>
      <c r="F6" s="75"/>
      <c r="G6" s="75"/>
      <c r="H6" s="75"/>
    </row>
    <row r="7" spans="1:8" ht="15.6">
      <c r="B7" s="2" t="s">
        <v>7</v>
      </c>
      <c r="D7" s="4">
        <v>2</v>
      </c>
      <c r="E7" s="74" t="s">
        <v>8</v>
      </c>
      <c r="F7" s="75"/>
      <c r="G7" s="75"/>
      <c r="H7" s="75"/>
    </row>
    <row r="8" spans="1:8" ht="15.6">
      <c r="B8" s="2" t="s">
        <v>9</v>
      </c>
      <c r="D8" s="4">
        <v>2</v>
      </c>
      <c r="E8" s="74" t="s">
        <v>10</v>
      </c>
      <c r="F8" s="75"/>
      <c r="G8" s="75"/>
      <c r="H8" s="75"/>
    </row>
    <row r="9" spans="1:8" ht="15.6">
      <c r="B9" s="2" t="s">
        <v>11</v>
      </c>
      <c r="D9" s="4">
        <v>50</v>
      </c>
      <c r="E9" s="74" t="s">
        <v>12</v>
      </c>
      <c r="F9" s="75"/>
      <c r="G9" s="75"/>
      <c r="H9" s="75"/>
    </row>
    <row r="10" spans="1:8" ht="15.6">
      <c r="B10" s="2" t="s">
        <v>13</v>
      </c>
      <c r="D10" s="4">
        <v>1</v>
      </c>
      <c r="E10" s="74" t="s">
        <v>14</v>
      </c>
      <c r="F10" s="75"/>
      <c r="G10" s="75"/>
      <c r="H10" s="75"/>
    </row>
    <row r="11" spans="1:8" ht="15.6">
      <c r="B11" s="2" t="s">
        <v>15</v>
      </c>
      <c r="D11" s="4">
        <v>0</v>
      </c>
      <c r="E11" s="74" t="s">
        <v>16</v>
      </c>
      <c r="F11" s="75"/>
      <c r="G11" s="75"/>
      <c r="H11" s="75"/>
    </row>
    <row r="12" spans="1:8" ht="15.6">
      <c r="B12" s="2" t="s">
        <v>17</v>
      </c>
      <c r="D12" s="4">
        <v>0</v>
      </c>
      <c r="E12" s="74" t="s">
        <v>18</v>
      </c>
      <c r="F12" s="75"/>
      <c r="G12" s="75"/>
      <c r="H12" s="75"/>
    </row>
    <row r="13" spans="1:8" ht="15.6">
      <c r="B13" s="2" t="s">
        <v>19</v>
      </c>
      <c r="D13" s="4">
        <v>1</v>
      </c>
      <c r="E13" s="74" t="s">
        <v>20</v>
      </c>
      <c r="F13" s="75"/>
      <c r="G13" s="75"/>
      <c r="H13" s="75"/>
    </row>
    <row r="14" spans="1:8" ht="15.6">
      <c r="B14" s="2" t="s">
        <v>21</v>
      </c>
      <c r="D14" s="4">
        <v>0</v>
      </c>
      <c r="E14" s="74" t="s">
        <v>22</v>
      </c>
      <c r="F14" s="75"/>
      <c r="G14" s="75"/>
      <c r="H14" s="75"/>
    </row>
    <row r="15" spans="1:8" ht="15.6">
      <c r="B15" s="2" t="s">
        <v>23</v>
      </c>
      <c r="D15" s="4">
        <v>0</v>
      </c>
      <c r="E15" s="74" t="s">
        <v>24</v>
      </c>
      <c r="F15" s="75"/>
      <c r="G15" s="75"/>
      <c r="H15" s="75"/>
    </row>
    <row r="16" spans="1:8" ht="15.6">
      <c r="B16" s="2" t="s">
        <v>25</v>
      </c>
      <c r="D16" s="4">
        <v>0</v>
      </c>
      <c r="E16" s="74" t="s">
        <v>26</v>
      </c>
      <c r="F16" s="75"/>
      <c r="G16" s="75"/>
      <c r="H16" s="75"/>
    </row>
    <row r="17" spans="1:8" ht="15.6">
      <c r="B17" s="2" t="s">
        <v>27</v>
      </c>
      <c r="D17" s="4">
        <v>0</v>
      </c>
      <c r="E17" s="74" t="s">
        <v>28</v>
      </c>
      <c r="F17" s="75"/>
      <c r="G17" s="75"/>
      <c r="H17" s="75"/>
    </row>
    <row r="18" spans="1:8" ht="15.6">
      <c r="B18" s="2" t="s">
        <v>29</v>
      </c>
      <c r="D18" s="4">
        <v>0</v>
      </c>
      <c r="E18" s="74" t="s">
        <v>30</v>
      </c>
      <c r="F18" s="75"/>
      <c r="G18" s="75"/>
      <c r="H18" s="75"/>
    </row>
    <row r="19" spans="1:8" ht="15.6">
      <c r="B19" s="2" t="s">
        <v>31</v>
      </c>
      <c r="D19" s="4">
        <v>0</v>
      </c>
      <c r="E19" s="74" t="s">
        <v>32</v>
      </c>
      <c r="F19" s="75"/>
      <c r="G19" s="75"/>
      <c r="H19" s="75"/>
    </row>
    <row r="20" spans="1:8" ht="15.6">
      <c r="B20" s="2" t="s">
        <v>33</v>
      </c>
      <c r="D20" s="4">
        <v>0</v>
      </c>
      <c r="E20" s="74" t="s">
        <v>34</v>
      </c>
      <c r="F20" s="77"/>
      <c r="G20" s="77"/>
      <c r="H20" s="77"/>
    </row>
    <row r="21" spans="1:8" ht="15.6">
      <c r="B21" s="2" t="s">
        <v>35</v>
      </c>
      <c r="D21" s="6">
        <v>0.2</v>
      </c>
      <c r="E21" s="74" t="s">
        <v>36</v>
      </c>
      <c r="F21" s="75"/>
      <c r="G21" s="75"/>
      <c r="H21" s="75"/>
    </row>
    <row r="22" spans="1:8" ht="15.6">
      <c r="B22" s="2" t="s">
        <v>76</v>
      </c>
      <c r="D22" s="6">
        <v>0</v>
      </c>
      <c r="E22" s="74" t="s">
        <v>36</v>
      </c>
      <c r="F22" s="75"/>
      <c r="G22" s="75"/>
      <c r="H22" s="75"/>
    </row>
    <row r="23" spans="1:8" ht="15.6">
      <c r="B23" s="7" t="s">
        <v>77</v>
      </c>
      <c r="D23" s="6">
        <v>0.8</v>
      </c>
      <c r="E23" s="74" t="s">
        <v>36</v>
      </c>
      <c r="F23" s="75"/>
      <c r="G23" s="75"/>
      <c r="H23" s="75"/>
    </row>
    <row r="24" spans="1:8" ht="15.6">
      <c r="B24" s="7" t="s">
        <v>78</v>
      </c>
      <c r="D24" s="6">
        <v>0</v>
      </c>
      <c r="E24" s="74" t="s">
        <v>36</v>
      </c>
      <c r="F24" s="75"/>
      <c r="G24" s="75"/>
      <c r="H24" s="75"/>
    </row>
    <row r="25" spans="1:8">
      <c r="H25" s="8"/>
    </row>
    <row r="26" spans="1:8">
      <c r="A26" s="1" t="s">
        <v>37</v>
      </c>
      <c r="H26" s="8"/>
    </row>
    <row r="27" spans="1:8">
      <c r="A27" s="9" t="s">
        <v>38</v>
      </c>
      <c r="B27" s="9"/>
      <c r="C27" s="81" t="s">
        <v>39</v>
      </c>
      <c r="D27" s="9"/>
      <c r="E27" s="10" t="s">
        <v>40</v>
      </c>
      <c r="F27" s="9"/>
      <c r="G27" s="9"/>
      <c r="H27" s="8"/>
    </row>
    <row r="28" spans="1:8">
      <c r="A28" s="2" t="s">
        <v>41</v>
      </c>
      <c r="B28" s="10" t="s">
        <v>42</v>
      </c>
      <c r="C28" s="82"/>
      <c r="D28" s="9"/>
      <c r="E28" s="10" t="s">
        <v>43</v>
      </c>
      <c r="F28" s="9"/>
      <c r="G28" s="10" t="s">
        <v>44</v>
      </c>
      <c r="H28" s="8"/>
    </row>
    <row r="29" spans="1:8" ht="12" customHeight="1">
      <c r="B29" s="7" t="s">
        <v>186</v>
      </c>
      <c r="C29" s="11">
        <f>(D13*2)+(D14*3)</f>
        <v>2</v>
      </c>
      <c r="E29" s="69">
        <f>'Price List'!D2</f>
        <v>17</v>
      </c>
      <c r="F29" s="13" t="s">
        <v>45</v>
      </c>
      <c r="G29" s="14">
        <f t="shared" ref="G29:G41" si="0">E29*C29</f>
        <v>34</v>
      </c>
      <c r="H29" s="83" t="s">
        <v>191</v>
      </c>
    </row>
    <row r="30" spans="1:8" ht="12" customHeight="1">
      <c r="B30" s="7" t="s">
        <v>187</v>
      </c>
      <c r="C30" s="11">
        <f>($D$13*2*$D$12)+($D$14*4*$D$12)</f>
        <v>0</v>
      </c>
      <c r="E30" s="69">
        <f>'Price List'!D5</f>
        <v>8</v>
      </c>
      <c r="F30" s="13" t="s">
        <v>45</v>
      </c>
      <c r="G30" s="14">
        <f t="shared" si="0"/>
        <v>0</v>
      </c>
      <c r="H30" s="84"/>
    </row>
    <row r="31" spans="1:8" ht="12" customHeight="1">
      <c r="B31" s="7" t="s">
        <v>188</v>
      </c>
      <c r="C31" s="11">
        <f>(C30)+($D$11*$D$13*2)+($D$11*$D$14*4)</f>
        <v>0</v>
      </c>
      <c r="E31" s="69">
        <f>'Price List'!D4</f>
        <v>16</v>
      </c>
      <c r="F31" s="13" t="s">
        <v>45</v>
      </c>
      <c r="G31" s="14">
        <f t="shared" si="0"/>
        <v>0</v>
      </c>
      <c r="H31" s="84"/>
    </row>
    <row r="32" spans="1:8" ht="12" customHeight="1">
      <c r="B32" s="2" t="s">
        <v>46</v>
      </c>
      <c r="C32" s="11">
        <f>(D15+(D18*4))*0.5</f>
        <v>0</v>
      </c>
      <c r="E32" s="69">
        <f>'Price List'!D15</f>
        <v>0.4975</v>
      </c>
      <c r="F32" s="13" t="s">
        <v>47</v>
      </c>
      <c r="G32" s="14">
        <f t="shared" si="0"/>
        <v>0</v>
      </c>
      <c r="H32" s="84"/>
    </row>
    <row r="33" spans="2:8" ht="12" customHeight="1">
      <c r="B33" s="2" t="s">
        <v>48</v>
      </c>
      <c r="C33" s="11">
        <f>D15+(D18*3)</f>
        <v>0</v>
      </c>
      <c r="E33" s="12">
        <v>5</v>
      </c>
      <c r="F33" s="2" t="s">
        <v>45</v>
      </c>
      <c r="G33" s="14">
        <f t="shared" si="0"/>
        <v>0</v>
      </c>
      <c r="H33" s="84"/>
    </row>
    <row r="34" spans="2:8" ht="12" customHeight="1">
      <c r="B34" s="7" t="s">
        <v>49</v>
      </c>
      <c r="C34" s="11">
        <f>C33*D7</f>
        <v>0</v>
      </c>
      <c r="E34" s="12">
        <v>0.4</v>
      </c>
      <c r="F34" s="2" t="s">
        <v>45</v>
      </c>
      <c r="G34" s="14">
        <f t="shared" si="0"/>
        <v>0</v>
      </c>
      <c r="H34" s="84"/>
    </row>
    <row r="35" spans="2:8" ht="12" customHeight="1">
      <c r="B35" s="7" t="s">
        <v>50</v>
      </c>
      <c r="C35" s="11">
        <f>((D15*D16*D7)+(D18*D19*D7*3))</f>
        <v>0</v>
      </c>
      <c r="E35" s="12">
        <f>109.5/660</f>
        <v>0.16590909090909092</v>
      </c>
      <c r="F35" s="2" t="s">
        <v>45</v>
      </c>
      <c r="G35" s="14">
        <f t="shared" si="0"/>
        <v>0</v>
      </c>
      <c r="H35" s="84"/>
    </row>
    <row r="36" spans="2:8" ht="12" customHeight="1">
      <c r="B36" s="2" t="s">
        <v>51</v>
      </c>
      <c r="C36" s="11">
        <v>4</v>
      </c>
      <c r="E36" s="12">
        <v>6.75</v>
      </c>
      <c r="F36" s="2" t="s">
        <v>45</v>
      </c>
      <c r="G36" s="14">
        <f t="shared" si="0"/>
        <v>27</v>
      </c>
      <c r="H36" s="84"/>
    </row>
    <row r="37" spans="2:8" ht="12" customHeight="1">
      <c r="B37" s="2" t="s">
        <v>52</v>
      </c>
      <c r="C37" s="11">
        <f>($D$6*$D$7)+(C31*20)</f>
        <v>5280</v>
      </c>
      <c r="D37" s="15">
        <f>'Price List'!C16</f>
        <v>149.75</v>
      </c>
      <c r="E37" s="16">
        <f>D37/4000</f>
        <v>3.7437499999999999E-2</v>
      </c>
      <c r="F37" s="2" t="s">
        <v>47</v>
      </c>
      <c r="G37" s="14">
        <f t="shared" si="0"/>
        <v>197.67</v>
      </c>
      <c r="H37" s="84"/>
    </row>
    <row r="38" spans="2:8" ht="12" customHeight="1">
      <c r="B38" s="2" t="s">
        <v>53</v>
      </c>
      <c r="C38">
        <f>(D13*D8*2)+(D14*D8*2)</f>
        <v>4</v>
      </c>
      <c r="E38" s="69">
        <f>'Price List'!D17</f>
        <v>0.85</v>
      </c>
      <c r="F38" s="2" t="s">
        <v>45</v>
      </c>
      <c r="G38" s="14">
        <f t="shared" si="0"/>
        <v>3.4</v>
      </c>
      <c r="H38" s="84"/>
    </row>
    <row r="39" spans="2:8" ht="12" customHeight="1">
      <c r="B39" s="2" t="s">
        <v>54</v>
      </c>
      <c r="C39" s="17">
        <f>((((($D$13+$D$14)*$D$7)*12))+(C40*2)+(C33*2))*1.2</f>
        <v>38.4</v>
      </c>
      <c r="E39" s="69">
        <f>'Price List'!D18</f>
        <v>0.23749999999999999</v>
      </c>
      <c r="F39" s="2" t="s">
        <v>45</v>
      </c>
      <c r="G39" s="14">
        <f t="shared" si="0"/>
        <v>9.1199999999999992</v>
      </c>
      <c r="H39" s="84"/>
    </row>
    <row r="40" spans="2:8" ht="12" customHeight="1">
      <c r="B40" s="2" t="s">
        <v>55</v>
      </c>
      <c r="C40" s="17">
        <f>((($D$13+$D$14)*$D$7)*(D6/1320))+C31</f>
        <v>4</v>
      </c>
      <c r="E40" s="69">
        <f>'Price List'!D19</f>
        <v>5.5</v>
      </c>
      <c r="F40" s="2" t="s">
        <v>45</v>
      </c>
      <c r="G40" s="14">
        <f t="shared" si="0"/>
        <v>22</v>
      </c>
      <c r="H40" s="84"/>
    </row>
    <row r="41" spans="2:8" ht="12" customHeight="1">
      <c r="B41" s="2" t="s">
        <v>56</v>
      </c>
      <c r="C41" s="11">
        <f>(D18*((D19+8)*2)*D20)+(D17*(D16+8))</f>
        <v>0</v>
      </c>
      <c r="E41" s="69">
        <f>'Price List'!D20</f>
        <v>0.28749999999999998</v>
      </c>
      <c r="F41" s="2" t="s">
        <v>47</v>
      </c>
      <c r="G41" s="14">
        <f t="shared" si="0"/>
        <v>0</v>
      </c>
      <c r="H41" s="84"/>
    </row>
    <row r="42" spans="2:8" ht="12" customHeight="1">
      <c r="B42" s="7" t="s">
        <v>57</v>
      </c>
      <c r="C42" s="11">
        <f>(C45*2)+(C36*4)</f>
        <v>56.64</v>
      </c>
      <c r="D42" s="18">
        <f>C42/50</f>
        <v>1.1328</v>
      </c>
      <c r="E42" s="69">
        <f>'Price List'!C21</f>
        <v>3.5</v>
      </c>
      <c r="F42" s="2" t="s">
        <v>58</v>
      </c>
      <c r="G42" s="14">
        <f>E42*D42</f>
        <v>3.9648000000000003</v>
      </c>
      <c r="H42" s="84"/>
    </row>
    <row r="43" spans="2:8" ht="12" customHeight="1">
      <c r="B43" s="2" t="s">
        <v>59</v>
      </c>
      <c r="C43" s="11">
        <f>((C29+C30)*$D$7)+(C31*2)+(C33*2)+10</f>
        <v>14</v>
      </c>
      <c r="D43" s="18">
        <f>C43/55</f>
        <v>0.25454545454545452</v>
      </c>
      <c r="E43" s="69">
        <f>'Price List'!C13</f>
        <v>3.99</v>
      </c>
      <c r="F43" s="2" t="s">
        <v>58</v>
      </c>
      <c r="G43" s="14">
        <f>E43*D43</f>
        <v>1.0156363636363637</v>
      </c>
      <c r="H43" s="84"/>
    </row>
    <row r="44" spans="2:8" ht="12" customHeight="1">
      <c r="B44" s="7" t="s">
        <v>189</v>
      </c>
      <c r="C44" s="11">
        <f>(($D$6/$D$9)-$C$29)*D21</f>
        <v>10.16</v>
      </c>
      <c r="E44" s="69">
        <f>'Price List'!D5</f>
        <v>8</v>
      </c>
      <c r="F44" s="2" t="s">
        <v>45</v>
      </c>
      <c r="G44" s="14">
        <f t="shared" ref="G44:G49" si="1">E44*C44</f>
        <v>81.28</v>
      </c>
      <c r="H44" s="84"/>
    </row>
    <row r="45" spans="2:8" ht="12" customHeight="1">
      <c r="B45" s="7" t="s">
        <v>190</v>
      </c>
      <c r="C45" s="11">
        <f>(C30*$D$8)+($D$8*C44)</f>
        <v>20.32</v>
      </c>
      <c r="E45" s="69">
        <f>'Price List'!D22</f>
        <v>0.55000000000000004</v>
      </c>
      <c r="F45" s="2" t="s">
        <v>45</v>
      </c>
      <c r="G45" s="14">
        <f>E45*C45</f>
        <v>11.176000000000002</v>
      </c>
      <c r="H45" s="84"/>
    </row>
    <row r="46" spans="2:8" ht="12" customHeight="1">
      <c r="B46" s="7" t="str">
        <f>B22</f>
        <v>FIBERGLASS SUCKERROD 1.25" x 48"</v>
      </c>
      <c r="C46" s="11">
        <f>(($D$6/$D$9)-$C$29)*D22</f>
        <v>0</v>
      </c>
      <c r="E46" s="69">
        <f>'Price List'!D23</f>
        <v>7.5</v>
      </c>
      <c r="F46" s="2"/>
      <c r="G46" s="14">
        <f>E46*C46</f>
        <v>0</v>
      </c>
      <c r="H46" s="84"/>
    </row>
    <row r="47" spans="2:8" ht="12" customHeight="1">
      <c r="B47" s="7" t="str">
        <f>B23</f>
        <v>PASTURE PRO WPC  LINEPOST 1.125" X 48"</v>
      </c>
      <c r="C47" s="11">
        <f>(($D$6/$D$9)-$C$29)*D23</f>
        <v>40.64</v>
      </c>
      <c r="E47" s="69">
        <f>'Price List'!D27</f>
        <v>7.25</v>
      </c>
      <c r="F47" s="2" t="s">
        <v>45</v>
      </c>
      <c r="G47" s="19">
        <f t="shared" si="1"/>
        <v>294.64</v>
      </c>
      <c r="H47" s="84"/>
    </row>
    <row r="48" spans="2:8" ht="12" customHeight="1">
      <c r="B48" s="2" t="s">
        <v>74</v>
      </c>
      <c r="C48" s="11">
        <f>(C47*D7)</f>
        <v>81.28</v>
      </c>
      <c r="E48" s="16">
        <f>'Price List'!D31</f>
        <v>0.1075</v>
      </c>
      <c r="F48" s="2" t="s">
        <v>45</v>
      </c>
      <c r="G48" s="14">
        <f>E48*C48</f>
        <v>8.7376000000000005</v>
      </c>
      <c r="H48" s="84"/>
    </row>
    <row r="49" spans="2:8" ht="12" customHeight="1">
      <c r="B49" s="7" t="str">
        <f>B24</f>
        <v>TIMELESS FENCE POLY-T POST 1.5" X 48"</v>
      </c>
      <c r="C49" s="11">
        <f>(($D$6/$D$9)-$C$29)*D24</f>
        <v>0</v>
      </c>
      <c r="E49" s="69">
        <f>'Price List'!D27</f>
        <v>7.25</v>
      </c>
      <c r="F49" s="2" t="s">
        <v>45</v>
      </c>
      <c r="G49" s="14">
        <f t="shared" si="1"/>
        <v>0</v>
      </c>
      <c r="H49" s="84"/>
    </row>
    <row r="50" spans="2:8" ht="12.75" customHeight="1">
      <c r="H50" s="85"/>
    </row>
    <row r="51" spans="2:8">
      <c r="C51" s="20" t="s">
        <v>60</v>
      </c>
      <c r="D51" s="9"/>
      <c r="E51" s="9"/>
      <c r="F51" s="9"/>
      <c r="G51" s="21">
        <f>SUM(G29:G49)</f>
        <v>694.00403636363637</v>
      </c>
      <c r="H51" s="86" t="s">
        <v>75</v>
      </c>
    </row>
    <row r="52" spans="2:8">
      <c r="C52" s="20" t="s">
        <v>61</v>
      </c>
      <c r="D52" s="9"/>
      <c r="E52" s="9"/>
      <c r="F52" s="9"/>
      <c r="G52" s="22">
        <f>G51/$D$6</f>
        <v>0.26288031680440771</v>
      </c>
      <c r="H52" s="86"/>
    </row>
    <row r="53" spans="2:8">
      <c r="C53" s="20" t="s">
        <v>62</v>
      </c>
      <c r="D53" s="9"/>
      <c r="E53" s="9"/>
      <c r="F53" s="9"/>
      <c r="G53" s="23">
        <f>G52*1320</f>
        <v>347.00201818181819</v>
      </c>
      <c r="H53" s="86"/>
    </row>
    <row r="54" spans="2:8">
      <c r="C54" s="20" t="s">
        <v>63</v>
      </c>
      <c r="D54" s="9"/>
      <c r="E54" s="9"/>
      <c r="F54" s="9"/>
      <c r="G54" s="23">
        <f>G51/$D$4</f>
        <v>4.3375252272727272</v>
      </c>
      <c r="H54" s="86"/>
    </row>
    <row r="55" spans="2:8">
      <c r="H55" s="8"/>
    </row>
    <row r="56" spans="2:8" ht="15.6">
      <c r="B56" s="27" t="s">
        <v>68</v>
      </c>
      <c r="C56" s="29">
        <v>3</v>
      </c>
      <c r="D56" s="30" t="s">
        <v>70</v>
      </c>
    </row>
    <row r="57" spans="2:8" ht="14.4" customHeight="1">
      <c r="B57" t="s">
        <v>79</v>
      </c>
      <c r="C57" s="25">
        <v>1</v>
      </c>
      <c r="E57" s="24">
        <v>535</v>
      </c>
      <c r="F57" t="s">
        <v>45</v>
      </c>
      <c r="G57" s="14">
        <f t="shared" ref="G57:G64" si="2">E57*C57</f>
        <v>535</v>
      </c>
      <c r="H57" s="76" t="s">
        <v>80</v>
      </c>
    </row>
    <row r="58" spans="2:8">
      <c r="B58" t="s">
        <v>81</v>
      </c>
      <c r="C58" s="25">
        <v>0</v>
      </c>
      <c r="E58" s="24">
        <v>125</v>
      </c>
      <c r="F58" t="s">
        <v>45</v>
      </c>
      <c r="G58" s="14">
        <f t="shared" si="2"/>
        <v>0</v>
      </c>
      <c r="H58" s="76"/>
    </row>
    <row r="59" spans="2:8">
      <c r="B59" t="s">
        <v>64</v>
      </c>
      <c r="C59" s="25">
        <v>0</v>
      </c>
      <c r="E59" s="24">
        <v>25.75</v>
      </c>
      <c r="F59" t="s">
        <v>45</v>
      </c>
      <c r="G59" s="14">
        <f t="shared" si="2"/>
        <v>0</v>
      </c>
      <c r="H59" s="76"/>
    </row>
    <row r="60" spans="2:8">
      <c r="B60" t="s">
        <v>82</v>
      </c>
      <c r="C60" s="25">
        <v>1</v>
      </c>
      <c r="E60" s="24">
        <v>125</v>
      </c>
      <c r="G60" s="14">
        <f t="shared" si="2"/>
        <v>125</v>
      </c>
      <c r="H60" s="76"/>
    </row>
    <row r="61" spans="2:8">
      <c r="B61" t="s">
        <v>65</v>
      </c>
      <c r="C61" s="25">
        <v>3</v>
      </c>
      <c r="E61" s="24">
        <v>12.75</v>
      </c>
      <c r="F61" t="s">
        <v>45</v>
      </c>
      <c r="G61" s="14">
        <f t="shared" si="2"/>
        <v>38.25</v>
      </c>
      <c r="H61" s="76"/>
    </row>
    <row r="62" spans="2:8">
      <c r="B62" t="s">
        <v>66</v>
      </c>
      <c r="C62" s="25">
        <v>3</v>
      </c>
      <c r="E62" s="24">
        <v>1.95</v>
      </c>
      <c r="F62" t="s">
        <v>45</v>
      </c>
      <c r="G62" s="14">
        <f t="shared" si="2"/>
        <v>5.85</v>
      </c>
      <c r="H62" s="76"/>
    </row>
    <row r="63" spans="2:8">
      <c r="B63" t="s">
        <v>67</v>
      </c>
      <c r="C63" s="25">
        <v>1</v>
      </c>
      <c r="E63" s="24">
        <v>8.25</v>
      </c>
      <c r="F63" t="s">
        <v>45</v>
      </c>
      <c r="G63" s="14">
        <f t="shared" si="2"/>
        <v>8.25</v>
      </c>
      <c r="H63" s="76"/>
    </row>
    <row r="64" spans="2:8">
      <c r="B64" t="s">
        <v>56</v>
      </c>
      <c r="C64" s="25">
        <v>40</v>
      </c>
      <c r="E64" s="26">
        <v>0.22</v>
      </c>
      <c r="F64" t="s">
        <v>47</v>
      </c>
      <c r="G64" s="14">
        <f t="shared" si="2"/>
        <v>8.8000000000000007</v>
      </c>
      <c r="H64" s="76"/>
    </row>
    <row r="66" spans="4:7">
      <c r="D66" s="73" t="s">
        <v>69</v>
      </c>
      <c r="E66" s="73"/>
      <c r="F66" s="73"/>
      <c r="G66" s="28">
        <f>SUM(G57:G64)</f>
        <v>721.15</v>
      </c>
    </row>
    <row r="67" spans="4:7">
      <c r="D67" s="73" t="s">
        <v>71</v>
      </c>
      <c r="E67" s="73"/>
      <c r="F67" s="73"/>
      <c r="G67" s="28">
        <f>G66/15840</f>
        <v>4.5527146464646465E-2</v>
      </c>
    </row>
    <row r="68" spans="4:7">
      <c r="D68" s="73" t="s">
        <v>72</v>
      </c>
      <c r="E68" s="73"/>
      <c r="F68" s="73"/>
      <c r="G68" s="28">
        <f>G67*1320</f>
        <v>60.095833333333331</v>
      </c>
    </row>
    <row r="69" spans="4:7">
      <c r="D69" s="73" t="s">
        <v>73</v>
      </c>
      <c r="E69" s="73"/>
      <c r="F69" s="73"/>
      <c r="G69" s="28">
        <f>G66/D4</f>
        <v>4.5071874999999997</v>
      </c>
    </row>
  </sheetData>
  <mergeCells count="30">
    <mergeCell ref="E14:H14"/>
    <mergeCell ref="A1:H1"/>
    <mergeCell ref="E4:H4"/>
    <mergeCell ref="E5:H5"/>
    <mergeCell ref="E6:H6"/>
    <mergeCell ref="E7:H7"/>
    <mergeCell ref="E8:H8"/>
    <mergeCell ref="E9:H9"/>
    <mergeCell ref="E10:H10"/>
    <mergeCell ref="E11:H11"/>
    <mergeCell ref="E12:H12"/>
    <mergeCell ref="E13:H13"/>
    <mergeCell ref="C27:C28"/>
    <mergeCell ref="H29:H50"/>
    <mergeCell ref="E15:H15"/>
    <mergeCell ref="E16:H16"/>
    <mergeCell ref="E17:H17"/>
    <mergeCell ref="E18:H18"/>
    <mergeCell ref="E19:H19"/>
    <mergeCell ref="E20:H20"/>
    <mergeCell ref="D69:F69"/>
    <mergeCell ref="E21:H21"/>
    <mergeCell ref="E22:H22"/>
    <mergeCell ref="E23:H23"/>
    <mergeCell ref="E24:H24"/>
    <mergeCell ref="H51:H54"/>
    <mergeCell ref="H57:H64"/>
    <mergeCell ref="D66:F66"/>
    <mergeCell ref="D67:F67"/>
    <mergeCell ref="D68:F68"/>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FD1720-24A2-4D8A-9718-5B1028CE6466}">
  <dimension ref="A1:H69"/>
  <sheetViews>
    <sheetView topLeftCell="A23" workbookViewId="0">
      <selection activeCell="J40" sqref="J40"/>
    </sheetView>
  </sheetViews>
  <sheetFormatPr defaultRowHeight="14.4"/>
  <cols>
    <col min="1" max="1" width="4.6640625" customWidth="1"/>
    <col min="2" max="2" width="40.88671875" customWidth="1"/>
    <col min="4" max="4" width="10.21875" customWidth="1"/>
    <col min="5" max="5" width="11" customWidth="1"/>
    <col min="7" max="7" width="11.109375" customWidth="1"/>
    <col min="8" max="8" width="40.44140625" customWidth="1"/>
  </cols>
  <sheetData>
    <row r="1" spans="1:8" ht="34.5" customHeight="1">
      <c r="A1" s="78" t="s">
        <v>183</v>
      </c>
      <c r="B1" s="79"/>
      <c r="C1" s="79"/>
      <c r="D1" s="79"/>
      <c r="E1" s="79"/>
      <c r="F1" s="79"/>
      <c r="G1" s="79"/>
      <c r="H1" s="80"/>
    </row>
    <row r="3" spans="1:8">
      <c r="A3" s="1" t="s">
        <v>0</v>
      </c>
    </row>
    <row r="4" spans="1:8" ht="15.6">
      <c r="B4" s="2" t="s">
        <v>1</v>
      </c>
      <c r="D4" s="3">
        <v>160</v>
      </c>
      <c r="E4" s="74" t="s">
        <v>2</v>
      </c>
      <c r="F4" s="75"/>
      <c r="G4" s="75"/>
      <c r="H4" s="75"/>
    </row>
    <row r="5" spans="1:8" ht="15.6">
      <c r="B5" s="2" t="s">
        <v>3</v>
      </c>
      <c r="D5" s="4">
        <v>1</v>
      </c>
      <c r="E5" s="74" t="s">
        <v>4</v>
      </c>
      <c r="F5" s="75"/>
      <c r="G5" s="75"/>
      <c r="H5" s="75"/>
    </row>
    <row r="6" spans="1:8" ht="15.6">
      <c r="B6" s="2" t="s">
        <v>5</v>
      </c>
      <c r="D6" s="5">
        <v>2640</v>
      </c>
      <c r="E6" s="74" t="s">
        <v>6</v>
      </c>
      <c r="F6" s="75"/>
      <c r="G6" s="75"/>
      <c r="H6" s="75"/>
    </row>
    <row r="7" spans="1:8" ht="15.6">
      <c r="B7" s="2" t="s">
        <v>7</v>
      </c>
      <c r="D7" s="4">
        <v>3</v>
      </c>
      <c r="E7" s="74" t="s">
        <v>8</v>
      </c>
      <c r="F7" s="75"/>
      <c r="G7" s="75"/>
      <c r="H7" s="75"/>
    </row>
    <row r="8" spans="1:8" ht="15.6">
      <c r="B8" s="2" t="s">
        <v>9</v>
      </c>
      <c r="D8" s="4">
        <v>3</v>
      </c>
      <c r="E8" s="74" t="s">
        <v>10</v>
      </c>
      <c r="F8" s="75"/>
      <c r="G8" s="75"/>
      <c r="H8" s="75"/>
    </row>
    <row r="9" spans="1:8" ht="15.6">
      <c r="B9" s="2" t="s">
        <v>11</v>
      </c>
      <c r="D9" s="4">
        <v>30</v>
      </c>
      <c r="E9" s="74" t="s">
        <v>12</v>
      </c>
      <c r="F9" s="75"/>
      <c r="G9" s="75"/>
      <c r="H9" s="75"/>
    </row>
    <row r="10" spans="1:8" ht="15.6">
      <c r="B10" s="2" t="s">
        <v>13</v>
      </c>
      <c r="D10" s="4">
        <v>0</v>
      </c>
      <c r="E10" s="74" t="s">
        <v>14</v>
      </c>
      <c r="F10" s="75"/>
      <c r="G10" s="75"/>
      <c r="H10" s="75"/>
    </row>
    <row r="11" spans="1:8" ht="15.6">
      <c r="B11" s="2" t="s">
        <v>15</v>
      </c>
      <c r="D11" s="4">
        <v>0</v>
      </c>
      <c r="E11" s="74" t="s">
        <v>16</v>
      </c>
      <c r="F11" s="75"/>
      <c r="G11" s="75"/>
      <c r="H11" s="75"/>
    </row>
    <row r="12" spans="1:8" ht="15.6">
      <c r="B12" s="2" t="s">
        <v>17</v>
      </c>
      <c r="D12" s="4">
        <v>1</v>
      </c>
      <c r="E12" s="74" t="s">
        <v>18</v>
      </c>
      <c r="F12" s="75"/>
      <c r="G12" s="75"/>
      <c r="H12" s="75"/>
    </row>
    <row r="13" spans="1:8" ht="15.6">
      <c r="B13" s="2" t="s">
        <v>19</v>
      </c>
      <c r="D13" s="4">
        <v>1</v>
      </c>
      <c r="E13" s="74" t="s">
        <v>20</v>
      </c>
      <c r="F13" s="75"/>
      <c r="G13" s="75"/>
      <c r="H13" s="75"/>
    </row>
    <row r="14" spans="1:8" ht="15.6">
      <c r="B14" s="2" t="s">
        <v>21</v>
      </c>
      <c r="D14" s="4">
        <v>0</v>
      </c>
      <c r="E14" s="74" t="s">
        <v>22</v>
      </c>
      <c r="F14" s="75"/>
      <c r="G14" s="75"/>
      <c r="H14" s="75"/>
    </row>
    <row r="15" spans="1:8" ht="15.6">
      <c r="B15" s="2" t="s">
        <v>23</v>
      </c>
      <c r="D15" s="4">
        <v>0</v>
      </c>
      <c r="E15" s="74" t="s">
        <v>24</v>
      </c>
      <c r="F15" s="75"/>
      <c r="G15" s="75"/>
      <c r="H15" s="75"/>
    </row>
    <row r="16" spans="1:8" ht="15.6">
      <c r="B16" s="2" t="s">
        <v>25</v>
      </c>
      <c r="D16" s="4">
        <v>0</v>
      </c>
      <c r="E16" s="74" t="s">
        <v>26</v>
      </c>
      <c r="F16" s="75"/>
      <c r="G16" s="75"/>
      <c r="H16" s="75"/>
    </row>
    <row r="17" spans="1:8" ht="15.6">
      <c r="B17" s="2" t="s">
        <v>27</v>
      </c>
      <c r="D17" s="4">
        <v>0</v>
      </c>
      <c r="E17" s="74" t="s">
        <v>28</v>
      </c>
      <c r="F17" s="75"/>
      <c r="G17" s="75"/>
      <c r="H17" s="75"/>
    </row>
    <row r="18" spans="1:8" ht="15.6">
      <c r="B18" s="2" t="s">
        <v>29</v>
      </c>
      <c r="D18" s="4">
        <v>0</v>
      </c>
      <c r="E18" s="74" t="s">
        <v>30</v>
      </c>
      <c r="F18" s="75"/>
      <c r="G18" s="75"/>
      <c r="H18" s="75"/>
    </row>
    <row r="19" spans="1:8" ht="15.6">
      <c r="B19" s="2" t="s">
        <v>31</v>
      </c>
      <c r="D19" s="4">
        <v>0</v>
      </c>
      <c r="E19" s="74" t="s">
        <v>32</v>
      </c>
      <c r="F19" s="75"/>
      <c r="G19" s="75"/>
      <c r="H19" s="75"/>
    </row>
    <row r="20" spans="1:8" ht="15.6">
      <c r="B20" s="2" t="s">
        <v>33</v>
      </c>
      <c r="D20" s="4">
        <v>0</v>
      </c>
      <c r="E20" s="74" t="s">
        <v>34</v>
      </c>
      <c r="F20" s="77"/>
      <c r="G20" s="77"/>
      <c r="H20" s="77"/>
    </row>
    <row r="21" spans="1:8" ht="15.6">
      <c r="B21" s="2" t="s">
        <v>35</v>
      </c>
      <c r="D21" s="6">
        <v>0.2</v>
      </c>
      <c r="E21" s="74" t="s">
        <v>36</v>
      </c>
      <c r="F21" s="75"/>
      <c r="G21" s="75"/>
      <c r="H21" s="75"/>
    </row>
    <row r="22" spans="1:8" ht="15.6">
      <c r="B22" s="2" t="s">
        <v>83</v>
      </c>
      <c r="D22" s="6">
        <v>0.8</v>
      </c>
      <c r="E22" s="74" t="s">
        <v>36</v>
      </c>
      <c r="F22" s="75"/>
      <c r="G22" s="75"/>
      <c r="H22" s="75"/>
    </row>
    <row r="23" spans="1:8" ht="15.6">
      <c r="B23" s="7" t="s">
        <v>84</v>
      </c>
      <c r="D23" s="6">
        <v>0</v>
      </c>
      <c r="E23" s="74" t="s">
        <v>36</v>
      </c>
      <c r="F23" s="75"/>
      <c r="G23" s="75"/>
      <c r="H23" s="75"/>
    </row>
    <row r="24" spans="1:8" ht="15.6">
      <c r="B24" s="7" t="s">
        <v>214</v>
      </c>
      <c r="D24" s="6">
        <v>0</v>
      </c>
      <c r="E24" s="74" t="s">
        <v>36</v>
      </c>
      <c r="F24" s="75"/>
      <c r="G24" s="75"/>
      <c r="H24" s="75"/>
    </row>
    <row r="25" spans="1:8">
      <c r="H25" s="8"/>
    </row>
    <row r="26" spans="1:8">
      <c r="A26" s="1" t="s">
        <v>37</v>
      </c>
      <c r="H26" s="8"/>
    </row>
    <row r="27" spans="1:8">
      <c r="A27" s="9" t="s">
        <v>38</v>
      </c>
      <c r="B27" s="9"/>
      <c r="C27" s="81" t="s">
        <v>39</v>
      </c>
      <c r="D27" s="9"/>
      <c r="E27" s="10" t="s">
        <v>40</v>
      </c>
      <c r="F27" s="9"/>
      <c r="G27" s="9"/>
      <c r="H27" s="8"/>
    </row>
    <row r="28" spans="1:8">
      <c r="A28" s="2" t="s">
        <v>41</v>
      </c>
      <c r="B28" s="10" t="s">
        <v>42</v>
      </c>
      <c r="C28" s="82"/>
      <c r="D28" s="9"/>
      <c r="E28" s="10" t="s">
        <v>43</v>
      </c>
      <c r="F28" s="9"/>
      <c r="G28" s="10" t="s">
        <v>44</v>
      </c>
      <c r="H28" s="8"/>
    </row>
    <row r="29" spans="1:8" ht="12" customHeight="1">
      <c r="B29" s="7" t="s">
        <v>186</v>
      </c>
      <c r="C29" s="11">
        <f>(D13*2)+(D14*3)</f>
        <v>2</v>
      </c>
      <c r="E29" s="69">
        <f>'Price List'!D2</f>
        <v>17</v>
      </c>
      <c r="F29" s="13" t="s">
        <v>45</v>
      </c>
      <c r="G29" s="14">
        <f t="shared" ref="G29:G41" si="0">E29*C29</f>
        <v>34</v>
      </c>
      <c r="H29" s="83" t="s">
        <v>191</v>
      </c>
    </row>
    <row r="30" spans="1:8" ht="12" customHeight="1">
      <c r="B30" s="7" t="s">
        <v>187</v>
      </c>
      <c r="C30" s="11">
        <f>($D$13*2*$D$12)+($D$14*4*$D$12)</f>
        <v>2</v>
      </c>
      <c r="E30" s="69">
        <f>'Price List'!D5</f>
        <v>8</v>
      </c>
      <c r="F30" s="13" t="s">
        <v>45</v>
      </c>
      <c r="G30" s="14">
        <f t="shared" si="0"/>
        <v>16</v>
      </c>
      <c r="H30" s="84"/>
    </row>
    <row r="31" spans="1:8" ht="12" customHeight="1">
      <c r="B31" s="7" t="s">
        <v>188</v>
      </c>
      <c r="C31" s="11">
        <f>(C30)+($D$11*$D$13*2)+($D$11*$D$14*4)</f>
        <v>2</v>
      </c>
      <c r="E31" s="69">
        <f>'Price List'!D4</f>
        <v>16</v>
      </c>
      <c r="F31" s="13" t="s">
        <v>45</v>
      </c>
      <c r="G31" s="14">
        <f t="shared" si="0"/>
        <v>32</v>
      </c>
      <c r="H31" s="84"/>
    </row>
    <row r="32" spans="1:8" ht="12" customHeight="1">
      <c r="B32" s="2" t="s">
        <v>46</v>
      </c>
      <c r="C32" s="11">
        <f>(D15+(D18*4))*0.5</f>
        <v>0</v>
      </c>
      <c r="E32" s="69">
        <f>'Price List'!D15</f>
        <v>0.4975</v>
      </c>
      <c r="F32" s="13" t="s">
        <v>47</v>
      </c>
      <c r="G32" s="14">
        <f t="shared" si="0"/>
        <v>0</v>
      </c>
      <c r="H32" s="84"/>
    </row>
    <row r="33" spans="2:8" ht="12" customHeight="1">
      <c r="B33" s="2" t="s">
        <v>48</v>
      </c>
      <c r="C33" s="11">
        <f>D15+(D18*3)</f>
        <v>0</v>
      </c>
      <c r="E33" s="12">
        <v>5</v>
      </c>
      <c r="F33" s="2" t="s">
        <v>45</v>
      </c>
      <c r="G33" s="14">
        <f t="shared" si="0"/>
        <v>0</v>
      </c>
      <c r="H33" s="84"/>
    </row>
    <row r="34" spans="2:8" ht="12" customHeight="1">
      <c r="B34" s="7" t="s">
        <v>49</v>
      </c>
      <c r="C34" s="11">
        <f>C33*D7</f>
        <v>0</v>
      </c>
      <c r="E34" s="12">
        <v>0.4</v>
      </c>
      <c r="F34" s="2" t="s">
        <v>45</v>
      </c>
      <c r="G34" s="14">
        <f t="shared" si="0"/>
        <v>0</v>
      </c>
      <c r="H34" s="84"/>
    </row>
    <row r="35" spans="2:8" ht="12" customHeight="1">
      <c r="B35" s="7" t="s">
        <v>50</v>
      </c>
      <c r="C35" s="11">
        <f>((D15*D16*D7)+(D18*D19*D7*3))</f>
        <v>0</v>
      </c>
      <c r="E35" s="12">
        <f>109.5/660</f>
        <v>0.16590909090909092</v>
      </c>
      <c r="F35" s="2" t="s">
        <v>45</v>
      </c>
      <c r="G35" s="14">
        <f t="shared" si="0"/>
        <v>0</v>
      </c>
      <c r="H35" s="84"/>
    </row>
    <row r="36" spans="2:8" ht="12" customHeight="1">
      <c r="B36" s="2" t="s">
        <v>51</v>
      </c>
      <c r="C36" s="11">
        <v>4</v>
      </c>
      <c r="E36" s="12">
        <v>6.75</v>
      </c>
      <c r="F36" s="2" t="s">
        <v>45</v>
      </c>
      <c r="G36" s="14">
        <f t="shared" si="0"/>
        <v>27</v>
      </c>
      <c r="H36" s="84"/>
    </row>
    <row r="37" spans="2:8" ht="12" customHeight="1">
      <c r="B37" s="2" t="s">
        <v>52</v>
      </c>
      <c r="C37" s="11">
        <f>($D$6*$D$7)+(C31*20)</f>
        <v>7960</v>
      </c>
      <c r="D37" s="15">
        <f>'Price List'!C16</f>
        <v>149.75</v>
      </c>
      <c r="E37" s="16">
        <f>D37/4000</f>
        <v>3.7437499999999999E-2</v>
      </c>
      <c r="F37" s="2" t="s">
        <v>47</v>
      </c>
      <c r="G37" s="14">
        <f t="shared" si="0"/>
        <v>298.0025</v>
      </c>
      <c r="H37" s="84"/>
    </row>
    <row r="38" spans="2:8" ht="12" customHeight="1">
      <c r="B38" s="2" t="s">
        <v>53</v>
      </c>
      <c r="C38">
        <f>(D13*D8*2)+(D14*D8*2)</f>
        <v>6</v>
      </c>
      <c r="E38" s="69">
        <f>'Price List'!D17</f>
        <v>0.85</v>
      </c>
      <c r="F38" s="2" t="s">
        <v>45</v>
      </c>
      <c r="G38" s="14">
        <f t="shared" si="0"/>
        <v>5.0999999999999996</v>
      </c>
      <c r="H38" s="84"/>
    </row>
    <row r="39" spans="2:8" ht="12" customHeight="1">
      <c r="B39" s="2" t="s">
        <v>54</v>
      </c>
      <c r="C39" s="17">
        <f>((((($D$13+$D$14)*$D$7)*12))+(C40*2)+(C33*2))*1.2</f>
        <v>62.4</v>
      </c>
      <c r="E39" s="69">
        <f>'Price List'!D18</f>
        <v>0.23749999999999999</v>
      </c>
      <c r="F39" s="2" t="s">
        <v>45</v>
      </c>
      <c r="G39" s="14">
        <f t="shared" si="0"/>
        <v>14.819999999999999</v>
      </c>
      <c r="H39" s="84"/>
    </row>
    <row r="40" spans="2:8" ht="12" customHeight="1">
      <c r="B40" s="2" t="s">
        <v>55</v>
      </c>
      <c r="C40" s="17">
        <f>((($D$13+$D$14)*$D$7)*(D6/1320))+C31</f>
        <v>8</v>
      </c>
      <c r="E40" s="69">
        <f>'Price List'!D19</f>
        <v>5.5</v>
      </c>
      <c r="F40" s="2" t="s">
        <v>45</v>
      </c>
      <c r="G40" s="14">
        <f t="shared" si="0"/>
        <v>44</v>
      </c>
      <c r="H40" s="84"/>
    </row>
    <row r="41" spans="2:8" ht="12" customHeight="1">
      <c r="B41" s="2" t="s">
        <v>56</v>
      </c>
      <c r="C41" s="11">
        <f>(D18*((D19+8)*2)*D20)+(D17*(D16+8))</f>
        <v>0</v>
      </c>
      <c r="E41" s="69">
        <f>'Price List'!D20</f>
        <v>0.28749999999999998</v>
      </c>
      <c r="F41" s="2" t="s">
        <v>47</v>
      </c>
      <c r="G41" s="14">
        <f t="shared" si="0"/>
        <v>0</v>
      </c>
      <c r="H41" s="84"/>
    </row>
    <row r="42" spans="2:8" ht="12" customHeight="1">
      <c r="B42" s="7" t="s">
        <v>57</v>
      </c>
      <c r="C42" s="11">
        <f>(C45*2)+(C36*4)</f>
        <v>131.19999999999999</v>
      </c>
      <c r="D42" s="18">
        <f>C42/50</f>
        <v>2.6239999999999997</v>
      </c>
      <c r="E42" s="69">
        <f>'Price List'!C21</f>
        <v>3.5</v>
      </c>
      <c r="F42" s="2" t="s">
        <v>58</v>
      </c>
      <c r="G42" s="14">
        <f>E42*D42</f>
        <v>9.1839999999999993</v>
      </c>
      <c r="H42" s="84"/>
    </row>
    <row r="43" spans="2:8" ht="12" customHeight="1">
      <c r="B43" s="2" t="s">
        <v>59</v>
      </c>
      <c r="C43" s="11">
        <f>((C29+C30)*$D$7)+(C31*2)+(C33*2)+10</f>
        <v>26</v>
      </c>
      <c r="D43" s="18">
        <f>C43/55</f>
        <v>0.47272727272727272</v>
      </c>
      <c r="E43" s="69">
        <f>'Price List'!C13</f>
        <v>3.99</v>
      </c>
      <c r="F43" s="2" t="s">
        <v>58</v>
      </c>
      <c r="G43" s="14">
        <f>E43*D43</f>
        <v>1.8861818181818182</v>
      </c>
      <c r="H43" s="84"/>
    </row>
    <row r="44" spans="2:8" ht="12" customHeight="1">
      <c r="B44" s="7" t="s">
        <v>189</v>
      </c>
      <c r="C44" s="11">
        <f>(($D$6/$D$9)-$C$29)*D21</f>
        <v>17.2</v>
      </c>
      <c r="E44" s="69">
        <f>'Price List'!D5</f>
        <v>8</v>
      </c>
      <c r="F44" s="2" t="s">
        <v>45</v>
      </c>
      <c r="G44" s="14">
        <f t="shared" ref="G44:G49" si="1">E44*C44</f>
        <v>137.6</v>
      </c>
      <c r="H44" s="84"/>
    </row>
    <row r="45" spans="2:8" ht="12" customHeight="1">
      <c r="B45" s="7" t="s">
        <v>190</v>
      </c>
      <c r="C45" s="11">
        <f>(C30*$D$8)+($D$8*C44)</f>
        <v>57.599999999999994</v>
      </c>
      <c r="E45" s="69">
        <f>'Price List'!D22</f>
        <v>0.55000000000000004</v>
      </c>
      <c r="F45" s="2" t="s">
        <v>45</v>
      </c>
      <c r="G45" s="14">
        <f>E45*C45</f>
        <v>31.68</v>
      </c>
      <c r="H45" s="84"/>
    </row>
    <row r="46" spans="2:8" ht="12" customHeight="1">
      <c r="B46" s="7" t="str">
        <f>B22</f>
        <v>FIBERGLASS SUCKERROD 1.25" x 54"</v>
      </c>
      <c r="C46" s="11">
        <f>(($D$6/$D$9)-$C$29)*D22</f>
        <v>68.8</v>
      </c>
      <c r="E46" s="69">
        <f>'Price List'!D24</f>
        <v>8.4375</v>
      </c>
      <c r="F46" s="2"/>
      <c r="G46" s="14">
        <f>E46*C46</f>
        <v>580.5</v>
      </c>
      <c r="H46" s="84"/>
    </row>
    <row r="47" spans="2:8" ht="12" customHeight="1">
      <c r="B47" s="7" t="str">
        <f>B23</f>
        <v>PASTURE PRO WPC  LINEPOST 1.125" X 54"</v>
      </c>
      <c r="C47" s="11">
        <f>(($D$6/$D$9)-$C$29)*D23</f>
        <v>0</v>
      </c>
      <c r="E47" s="69">
        <f>'Price List'!D27</f>
        <v>7.25</v>
      </c>
      <c r="F47" s="2" t="s">
        <v>45</v>
      </c>
      <c r="G47" s="19">
        <f t="shared" si="1"/>
        <v>0</v>
      </c>
      <c r="H47" s="84"/>
    </row>
    <row r="48" spans="2:8" ht="12" customHeight="1">
      <c r="B48" s="2" t="s">
        <v>74</v>
      </c>
      <c r="C48" s="11">
        <f>(C47*D7)</f>
        <v>0</v>
      </c>
      <c r="E48" s="16">
        <f>'Price List'!D31</f>
        <v>0.1075</v>
      </c>
      <c r="F48" s="2" t="s">
        <v>45</v>
      </c>
      <c r="G48" s="14">
        <f>E48*C48</f>
        <v>0</v>
      </c>
      <c r="H48" s="84"/>
    </row>
    <row r="49" spans="2:8" ht="12" customHeight="1">
      <c r="B49" s="7" t="str">
        <f>B24</f>
        <v>TIMELESS FENCE POLY-T POST 1.75" X 54"</v>
      </c>
      <c r="C49" s="11">
        <f>(($D$6/$D$9)-$C$29)*D24</f>
        <v>0</v>
      </c>
      <c r="E49" s="69">
        <f>'Price List'!D28</f>
        <v>8</v>
      </c>
      <c r="F49" s="2" t="s">
        <v>45</v>
      </c>
      <c r="G49" s="14">
        <f t="shared" si="1"/>
        <v>0</v>
      </c>
      <c r="H49" s="84"/>
    </row>
    <row r="50" spans="2:8" ht="12.75" customHeight="1">
      <c r="H50" s="85"/>
    </row>
    <row r="51" spans="2:8">
      <c r="C51" s="20" t="s">
        <v>60</v>
      </c>
      <c r="D51" s="9"/>
      <c r="E51" s="9"/>
      <c r="F51" s="9"/>
      <c r="G51" s="21">
        <f>SUM(G29:G49)</f>
        <v>1231.7726818181818</v>
      </c>
      <c r="H51" s="86" t="s">
        <v>75</v>
      </c>
    </row>
    <row r="52" spans="2:8">
      <c r="C52" s="20" t="s">
        <v>61</v>
      </c>
      <c r="D52" s="9"/>
      <c r="E52" s="9"/>
      <c r="F52" s="9"/>
      <c r="G52" s="22">
        <f>G51/$D$6</f>
        <v>0.46658056129476583</v>
      </c>
      <c r="H52" s="86"/>
    </row>
    <row r="53" spans="2:8">
      <c r="C53" s="20" t="s">
        <v>62</v>
      </c>
      <c r="D53" s="9"/>
      <c r="E53" s="9"/>
      <c r="F53" s="9"/>
      <c r="G53" s="23">
        <f>G52*1320</f>
        <v>615.8863409090909</v>
      </c>
      <c r="H53" s="86"/>
    </row>
    <row r="54" spans="2:8">
      <c r="C54" s="20" t="s">
        <v>63</v>
      </c>
      <c r="D54" s="9"/>
      <c r="E54" s="9"/>
      <c r="F54" s="9"/>
      <c r="G54" s="23">
        <f>G51/$D$4</f>
        <v>7.6985792613636361</v>
      </c>
      <c r="H54" s="86"/>
    </row>
    <row r="55" spans="2:8">
      <c r="H55" s="8"/>
    </row>
    <row r="56" spans="2:8" ht="15.6">
      <c r="B56" s="27" t="s">
        <v>68</v>
      </c>
      <c r="C56" s="29">
        <v>3</v>
      </c>
      <c r="D56" s="30" t="s">
        <v>70</v>
      </c>
    </row>
    <row r="57" spans="2:8" ht="14.4" customHeight="1">
      <c r="B57" t="s">
        <v>79</v>
      </c>
      <c r="C57" s="25">
        <v>1</v>
      </c>
      <c r="E57" s="24">
        <v>535</v>
      </c>
      <c r="F57" t="s">
        <v>45</v>
      </c>
      <c r="G57" s="14">
        <f t="shared" ref="G57:G64" si="2">E57*C57</f>
        <v>535</v>
      </c>
      <c r="H57" s="76" t="s">
        <v>80</v>
      </c>
    </row>
    <row r="58" spans="2:8">
      <c r="B58" t="s">
        <v>81</v>
      </c>
      <c r="C58" s="25">
        <v>0</v>
      </c>
      <c r="E58" s="24">
        <v>125</v>
      </c>
      <c r="F58" t="s">
        <v>45</v>
      </c>
      <c r="G58" s="14">
        <f t="shared" si="2"/>
        <v>0</v>
      </c>
      <c r="H58" s="76"/>
    </row>
    <row r="59" spans="2:8">
      <c r="B59" t="s">
        <v>64</v>
      </c>
      <c r="C59" s="25">
        <v>0</v>
      </c>
      <c r="E59" s="24">
        <v>25.75</v>
      </c>
      <c r="F59" t="s">
        <v>45</v>
      </c>
      <c r="G59" s="14">
        <f t="shared" si="2"/>
        <v>0</v>
      </c>
      <c r="H59" s="76"/>
    </row>
    <row r="60" spans="2:8">
      <c r="B60" t="s">
        <v>82</v>
      </c>
      <c r="C60" s="25">
        <v>1</v>
      </c>
      <c r="E60" s="24">
        <v>125</v>
      </c>
      <c r="G60" s="14">
        <f t="shared" si="2"/>
        <v>125</v>
      </c>
      <c r="H60" s="76"/>
    </row>
    <row r="61" spans="2:8">
      <c r="B61" t="s">
        <v>65</v>
      </c>
      <c r="C61" s="25">
        <v>3</v>
      </c>
      <c r="E61" s="24">
        <v>12.75</v>
      </c>
      <c r="F61" t="s">
        <v>45</v>
      </c>
      <c r="G61" s="14">
        <f t="shared" si="2"/>
        <v>38.25</v>
      </c>
      <c r="H61" s="76"/>
    </row>
    <row r="62" spans="2:8">
      <c r="B62" t="s">
        <v>66</v>
      </c>
      <c r="C62" s="25">
        <v>3</v>
      </c>
      <c r="E62" s="24">
        <v>1.95</v>
      </c>
      <c r="F62" t="s">
        <v>45</v>
      </c>
      <c r="G62" s="14">
        <f t="shared" si="2"/>
        <v>5.85</v>
      </c>
      <c r="H62" s="76"/>
    </row>
    <row r="63" spans="2:8">
      <c r="B63" t="s">
        <v>67</v>
      </c>
      <c r="C63" s="25">
        <v>1</v>
      </c>
      <c r="E63" s="24">
        <v>8.25</v>
      </c>
      <c r="F63" t="s">
        <v>45</v>
      </c>
      <c r="G63" s="14">
        <f t="shared" si="2"/>
        <v>8.25</v>
      </c>
      <c r="H63" s="76"/>
    </row>
    <row r="64" spans="2:8">
      <c r="B64" t="s">
        <v>56</v>
      </c>
      <c r="C64" s="25">
        <v>40</v>
      </c>
      <c r="E64" s="26">
        <v>0.22</v>
      </c>
      <c r="F64" t="s">
        <v>47</v>
      </c>
      <c r="G64" s="14">
        <f t="shared" si="2"/>
        <v>8.8000000000000007</v>
      </c>
      <c r="H64" s="76"/>
    </row>
    <row r="66" spans="4:7">
      <c r="D66" s="73" t="s">
        <v>69</v>
      </c>
      <c r="E66" s="73"/>
      <c r="F66" s="73"/>
      <c r="G66" s="28">
        <f>SUM(G57:G64)</f>
        <v>721.15</v>
      </c>
    </row>
    <row r="67" spans="4:7">
      <c r="D67" s="73" t="s">
        <v>71</v>
      </c>
      <c r="E67" s="73"/>
      <c r="F67" s="73"/>
      <c r="G67" s="28">
        <f>G66/15840</f>
        <v>4.5527146464646465E-2</v>
      </c>
    </row>
    <row r="68" spans="4:7">
      <c r="D68" s="73" t="s">
        <v>72</v>
      </c>
      <c r="E68" s="73"/>
      <c r="F68" s="73"/>
      <c r="G68" s="28">
        <f>G67*1320</f>
        <v>60.095833333333331</v>
      </c>
    </row>
    <row r="69" spans="4:7">
      <c r="D69" s="73" t="s">
        <v>73</v>
      </c>
      <c r="E69" s="73"/>
      <c r="F69" s="73"/>
      <c r="G69" s="28">
        <f>G66/D4</f>
        <v>4.5071874999999997</v>
      </c>
    </row>
  </sheetData>
  <mergeCells count="30">
    <mergeCell ref="D69:F69"/>
    <mergeCell ref="E21:H21"/>
    <mergeCell ref="E22:H22"/>
    <mergeCell ref="E23:H23"/>
    <mergeCell ref="E24:H24"/>
    <mergeCell ref="H51:H54"/>
    <mergeCell ref="H57:H64"/>
    <mergeCell ref="D66:F66"/>
    <mergeCell ref="D67:F67"/>
    <mergeCell ref="D68:F68"/>
    <mergeCell ref="C27:C28"/>
    <mergeCell ref="H29:H50"/>
    <mergeCell ref="E15:H15"/>
    <mergeCell ref="E16:H16"/>
    <mergeCell ref="E17:H17"/>
    <mergeCell ref="E18:H18"/>
    <mergeCell ref="E19:H19"/>
    <mergeCell ref="E20:H20"/>
    <mergeCell ref="E14:H14"/>
    <mergeCell ref="A1:H1"/>
    <mergeCell ref="E4:H4"/>
    <mergeCell ref="E5:H5"/>
    <mergeCell ref="E6:H6"/>
    <mergeCell ref="E7:H7"/>
    <mergeCell ref="E8:H8"/>
    <mergeCell ref="E9:H9"/>
    <mergeCell ref="E10:H10"/>
    <mergeCell ref="E11:H11"/>
    <mergeCell ref="E12:H12"/>
    <mergeCell ref="E13:H1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F3CF3A-B071-447B-B17E-D8B0087242CF}">
  <dimension ref="A1:H69"/>
  <sheetViews>
    <sheetView topLeftCell="A28" workbookViewId="0">
      <selection activeCell="D29" sqref="D29:E49"/>
    </sheetView>
  </sheetViews>
  <sheetFormatPr defaultRowHeight="14.4"/>
  <cols>
    <col min="1" max="1" width="4.6640625" customWidth="1"/>
    <col min="2" max="2" width="40.88671875" customWidth="1"/>
    <col min="4" max="4" width="10.21875" customWidth="1"/>
    <col min="5" max="5" width="11" customWidth="1"/>
    <col min="7" max="7" width="11.109375" customWidth="1"/>
    <col min="8" max="8" width="40.44140625" customWidth="1"/>
  </cols>
  <sheetData>
    <row r="1" spans="1:8" ht="34.5" customHeight="1">
      <c r="A1" s="78" t="s">
        <v>182</v>
      </c>
      <c r="B1" s="79"/>
      <c r="C1" s="79"/>
      <c r="D1" s="79"/>
      <c r="E1" s="79"/>
      <c r="F1" s="79"/>
      <c r="G1" s="79"/>
      <c r="H1" s="80"/>
    </row>
    <row r="3" spans="1:8">
      <c r="A3" s="1" t="s">
        <v>0</v>
      </c>
    </row>
    <row r="4" spans="1:8" ht="15.6">
      <c r="B4" s="2" t="s">
        <v>1</v>
      </c>
      <c r="D4" s="3">
        <v>160</v>
      </c>
      <c r="E4" s="74" t="s">
        <v>2</v>
      </c>
      <c r="F4" s="75"/>
      <c r="G4" s="75"/>
      <c r="H4" s="75"/>
    </row>
    <row r="5" spans="1:8" ht="15.6">
      <c r="B5" s="2" t="s">
        <v>3</v>
      </c>
      <c r="D5" s="4">
        <v>1</v>
      </c>
      <c r="E5" s="74" t="s">
        <v>4</v>
      </c>
      <c r="F5" s="75"/>
      <c r="G5" s="75"/>
      <c r="H5" s="75"/>
    </row>
    <row r="6" spans="1:8" ht="15.6">
      <c r="B6" s="2" t="s">
        <v>5</v>
      </c>
      <c r="D6" s="5">
        <v>2640</v>
      </c>
      <c r="E6" s="74" t="s">
        <v>6</v>
      </c>
      <c r="F6" s="75"/>
      <c r="G6" s="75"/>
      <c r="H6" s="75"/>
    </row>
    <row r="7" spans="1:8" ht="15.6">
      <c r="B7" s="2" t="s">
        <v>7</v>
      </c>
      <c r="D7" s="4">
        <v>4</v>
      </c>
      <c r="E7" s="74" t="s">
        <v>8</v>
      </c>
      <c r="F7" s="75"/>
      <c r="G7" s="75"/>
      <c r="H7" s="75"/>
    </row>
    <row r="8" spans="1:8" ht="15.6">
      <c r="B8" s="2" t="s">
        <v>9</v>
      </c>
      <c r="D8" s="4">
        <v>1</v>
      </c>
      <c r="E8" s="74" t="s">
        <v>10</v>
      </c>
      <c r="F8" s="75"/>
      <c r="G8" s="75"/>
      <c r="H8" s="75"/>
    </row>
    <row r="9" spans="1:8" ht="15.6">
      <c r="B9" s="2" t="s">
        <v>11</v>
      </c>
      <c r="D9" s="4">
        <v>30</v>
      </c>
      <c r="E9" s="74" t="s">
        <v>12</v>
      </c>
      <c r="F9" s="75"/>
      <c r="G9" s="75"/>
      <c r="H9" s="75"/>
    </row>
    <row r="10" spans="1:8" ht="15.6">
      <c r="B10" s="2" t="s">
        <v>13</v>
      </c>
      <c r="D10" s="4">
        <v>0</v>
      </c>
      <c r="E10" s="74" t="s">
        <v>14</v>
      </c>
      <c r="F10" s="75"/>
      <c r="G10" s="75"/>
      <c r="H10" s="75"/>
    </row>
    <row r="11" spans="1:8" ht="15.6">
      <c r="B11" s="2" t="s">
        <v>15</v>
      </c>
      <c r="D11" s="4">
        <v>0</v>
      </c>
      <c r="E11" s="74" t="s">
        <v>16</v>
      </c>
      <c r="F11" s="75"/>
      <c r="G11" s="75"/>
      <c r="H11" s="75"/>
    </row>
    <row r="12" spans="1:8" ht="15.6">
      <c r="B12" s="2" t="s">
        <v>17</v>
      </c>
      <c r="D12" s="4">
        <v>1</v>
      </c>
      <c r="E12" s="74" t="s">
        <v>18</v>
      </c>
      <c r="F12" s="75"/>
      <c r="G12" s="75"/>
      <c r="H12" s="75"/>
    </row>
    <row r="13" spans="1:8" ht="15.6">
      <c r="B13" s="2" t="s">
        <v>19</v>
      </c>
      <c r="D13" s="4">
        <v>1</v>
      </c>
      <c r="E13" s="74" t="s">
        <v>20</v>
      </c>
      <c r="F13" s="75"/>
      <c r="G13" s="75"/>
      <c r="H13" s="75"/>
    </row>
    <row r="14" spans="1:8" ht="15.6">
      <c r="B14" s="2" t="s">
        <v>21</v>
      </c>
      <c r="D14" s="4">
        <v>0</v>
      </c>
      <c r="E14" s="74" t="s">
        <v>22</v>
      </c>
      <c r="F14" s="75"/>
      <c r="G14" s="75"/>
      <c r="H14" s="75"/>
    </row>
    <row r="15" spans="1:8" ht="15.6">
      <c r="B15" s="2" t="s">
        <v>23</v>
      </c>
      <c r="D15" s="4">
        <v>0</v>
      </c>
      <c r="E15" s="74" t="s">
        <v>24</v>
      </c>
      <c r="F15" s="75"/>
      <c r="G15" s="75"/>
      <c r="H15" s="75"/>
    </row>
    <row r="16" spans="1:8" ht="15.6">
      <c r="B16" s="2" t="s">
        <v>25</v>
      </c>
      <c r="D16" s="4">
        <v>0</v>
      </c>
      <c r="E16" s="74" t="s">
        <v>26</v>
      </c>
      <c r="F16" s="75"/>
      <c r="G16" s="75"/>
      <c r="H16" s="75"/>
    </row>
    <row r="17" spans="1:8" ht="15.6">
      <c r="B17" s="2" t="s">
        <v>27</v>
      </c>
      <c r="D17" s="4">
        <v>0</v>
      </c>
      <c r="E17" s="74" t="s">
        <v>28</v>
      </c>
      <c r="F17" s="75"/>
      <c r="G17" s="75"/>
      <c r="H17" s="75"/>
    </row>
    <row r="18" spans="1:8" ht="15.6">
      <c r="B18" s="2" t="s">
        <v>29</v>
      </c>
      <c r="D18" s="4">
        <v>0</v>
      </c>
      <c r="E18" s="74" t="s">
        <v>30</v>
      </c>
      <c r="F18" s="75"/>
      <c r="G18" s="75"/>
      <c r="H18" s="75"/>
    </row>
    <row r="19" spans="1:8" ht="15.6">
      <c r="B19" s="2" t="s">
        <v>31</v>
      </c>
      <c r="D19" s="4">
        <v>0</v>
      </c>
      <c r="E19" s="74" t="s">
        <v>32</v>
      </c>
      <c r="F19" s="75"/>
      <c r="G19" s="75"/>
      <c r="H19" s="75"/>
    </row>
    <row r="20" spans="1:8" ht="15.6">
      <c r="B20" s="2" t="s">
        <v>33</v>
      </c>
      <c r="D20" s="4">
        <v>0</v>
      </c>
      <c r="E20" s="74" t="s">
        <v>34</v>
      </c>
      <c r="F20" s="77"/>
      <c r="G20" s="77"/>
      <c r="H20" s="77"/>
    </row>
    <row r="21" spans="1:8" ht="15.6">
      <c r="B21" s="2" t="s">
        <v>35</v>
      </c>
      <c r="D21" s="6">
        <v>0.2</v>
      </c>
      <c r="E21" s="74" t="s">
        <v>36</v>
      </c>
      <c r="F21" s="75"/>
      <c r="G21" s="75"/>
      <c r="H21" s="75"/>
    </row>
    <row r="22" spans="1:8" ht="15.6">
      <c r="B22" s="2" t="s">
        <v>85</v>
      </c>
      <c r="D22" s="6">
        <v>0</v>
      </c>
      <c r="E22" s="74" t="s">
        <v>36</v>
      </c>
      <c r="F22" s="75"/>
      <c r="G22" s="75"/>
      <c r="H22" s="75"/>
    </row>
    <row r="23" spans="1:8" ht="15.6">
      <c r="B23" s="7" t="s">
        <v>86</v>
      </c>
      <c r="D23" s="6">
        <v>0.8</v>
      </c>
      <c r="E23" s="74" t="s">
        <v>36</v>
      </c>
      <c r="F23" s="75"/>
      <c r="G23" s="75"/>
      <c r="H23" s="75"/>
    </row>
    <row r="24" spans="1:8" ht="15.6">
      <c r="B24" s="7" t="s">
        <v>215</v>
      </c>
      <c r="D24" s="6">
        <v>0</v>
      </c>
      <c r="E24" s="74" t="s">
        <v>36</v>
      </c>
      <c r="F24" s="75"/>
      <c r="G24" s="75"/>
      <c r="H24" s="75"/>
    </row>
    <row r="25" spans="1:8">
      <c r="H25" s="8"/>
    </row>
    <row r="26" spans="1:8">
      <c r="A26" s="1" t="s">
        <v>37</v>
      </c>
      <c r="H26" s="8"/>
    </row>
    <row r="27" spans="1:8">
      <c r="A27" s="9" t="s">
        <v>38</v>
      </c>
      <c r="B27" s="9"/>
      <c r="C27" s="81" t="s">
        <v>39</v>
      </c>
      <c r="D27" s="9"/>
      <c r="E27" s="10" t="s">
        <v>40</v>
      </c>
      <c r="F27" s="9"/>
      <c r="G27" s="9"/>
      <c r="H27" s="8"/>
    </row>
    <row r="28" spans="1:8">
      <c r="A28" s="2" t="s">
        <v>41</v>
      </c>
      <c r="B28" s="10" t="s">
        <v>42</v>
      </c>
      <c r="C28" s="82"/>
      <c r="D28" s="9"/>
      <c r="E28" s="10" t="s">
        <v>43</v>
      </c>
      <c r="F28" s="9"/>
      <c r="G28" s="10" t="s">
        <v>44</v>
      </c>
      <c r="H28" s="8"/>
    </row>
    <row r="29" spans="1:8" ht="12" customHeight="1">
      <c r="B29" s="7" t="s">
        <v>186</v>
      </c>
      <c r="C29" s="11">
        <f>(D13*2)+(D14*3)</f>
        <v>2</v>
      </c>
      <c r="E29" s="69">
        <f>'Price List'!D2</f>
        <v>17</v>
      </c>
      <c r="F29" s="13" t="s">
        <v>45</v>
      </c>
      <c r="G29" s="14">
        <f t="shared" ref="G29:G41" si="0">E29*C29</f>
        <v>34</v>
      </c>
      <c r="H29" s="83" t="s">
        <v>191</v>
      </c>
    </row>
    <row r="30" spans="1:8" ht="12" customHeight="1">
      <c r="B30" s="7" t="s">
        <v>187</v>
      </c>
      <c r="C30" s="11">
        <f>($D$13*2*$D$12)+($D$14*4*$D$12)</f>
        <v>2</v>
      </c>
      <c r="E30" s="69">
        <f>'Price List'!D5</f>
        <v>8</v>
      </c>
      <c r="F30" s="13" t="s">
        <v>45</v>
      </c>
      <c r="G30" s="14">
        <f t="shared" si="0"/>
        <v>16</v>
      </c>
      <c r="H30" s="84"/>
    </row>
    <row r="31" spans="1:8" ht="12" customHeight="1">
      <c r="B31" s="7" t="s">
        <v>188</v>
      </c>
      <c r="C31" s="11">
        <f>(C30)+($D$11*$D$13*2)+($D$11*$D$14*4)</f>
        <v>2</v>
      </c>
      <c r="E31" s="69">
        <f>'Price List'!D4</f>
        <v>16</v>
      </c>
      <c r="F31" s="13" t="s">
        <v>45</v>
      </c>
      <c r="G31" s="14">
        <f t="shared" si="0"/>
        <v>32</v>
      </c>
      <c r="H31" s="84"/>
    </row>
    <row r="32" spans="1:8" ht="12" customHeight="1">
      <c r="B32" s="2" t="s">
        <v>46</v>
      </c>
      <c r="C32" s="11">
        <f>(D15+(D18*4))*0.5</f>
        <v>0</v>
      </c>
      <c r="E32" s="69">
        <f>'Price List'!D15</f>
        <v>0.4975</v>
      </c>
      <c r="F32" s="13" t="s">
        <v>47</v>
      </c>
      <c r="G32" s="14">
        <f t="shared" si="0"/>
        <v>0</v>
      </c>
      <c r="H32" s="84"/>
    </row>
    <row r="33" spans="2:8" ht="12" customHeight="1">
      <c r="B33" s="2" t="s">
        <v>48</v>
      </c>
      <c r="C33" s="11">
        <f>D15+(D18*3)</f>
        <v>0</v>
      </c>
      <c r="E33" s="12">
        <v>5</v>
      </c>
      <c r="F33" s="2" t="s">
        <v>45</v>
      </c>
      <c r="G33" s="14">
        <f t="shared" si="0"/>
        <v>0</v>
      </c>
      <c r="H33" s="84"/>
    </row>
    <row r="34" spans="2:8" ht="12" customHeight="1">
      <c r="B34" s="7" t="s">
        <v>49</v>
      </c>
      <c r="C34" s="11">
        <f>C33*D7</f>
        <v>0</v>
      </c>
      <c r="E34" s="12">
        <v>0.4</v>
      </c>
      <c r="F34" s="2" t="s">
        <v>45</v>
      </c>
      <c r="G34" s="14">
        <f t="shared" si="0"/>
        <v>0</v>
      </c>
      <c r="H34" s="84"/>
    </row>
    <row r="35" spans="2:8" ht="12" customHeight="1">
      <c r="B35" s="7" t="s">
        <v>50</v>
      </c>
      <c r="C35" s="11">
        <f>((D15*D16*D7)+(D18*D19*D7*3))</f>
        <v>0</v>
      </c>
      <c r="E35" s="12">
        <f>109.5/660</f>
        <v>0.16590909090909092</v>
      </c>
      <c r="F35" s="2" t="s">
        <v>45</v>
      </c>
      <c r="G35" s="14">
        <f t="shared" si="0"/>
        <v>0</v>
      </c>
      <c r="H35" s="84"/>
    </row>
    <row r="36" spans="2:8" ht="12" customHeight="1">
      <c r="B36" s="2" t="s">
        <v>51</v>
      </c>
      <c r="C36" s="11">
        <v>4</v>
      </c>
      <c r="E36" s="12">
        <v>6.75</v>
      </c>
      <c r="F36" s="2" t="s">
        <v>45</v>
      </c>
      <c r="G36" s="14">
        <f t="shared" si="0"/>
        <v>27</v>
      </c>
      <c r="H36" s="84"/>
    </row>
    <row r="37" spans="2:8" ht="12" customHeight="1">
      <c r="B37" s="2" t="s">
        <v>52</v>
      </c>
      <c r="C37" s="11">
        <f>($D$6*$D$7)+(C31*20)</f>
        <v>10600</v>
      </c>
      <c r="D37" s="15">
        <f>'Price List'!C16</f>
        <v>149.75</v>
      </c>
      <c r="E37" s="16">
        <f>D37/4000</f>
        <v>3.7437499999999999E-2</v>
      </c>
      <c r="F37" s="2" t="s">
        <v>47</v>
      </c>
      <c r="G37" s="14">
        <f t="shared" si="0"/>
        <v>396.83749999999998</v>
      </c>
      <c r="H37" s="84"/>
    </row>
    <row r="38" spans="2:8" ht="12" customHeight="1">
      <c r="B38" s="2" t="s">
        <v>53</v>
      </c>
      <c r="C38">
        <f>(D13*D8*2)+(D14*D8*2)</f>
        <v>2</v>
      </c>
      <c r="E38" s="69">
        <f>'Price List'!D17</f>
        <v>0.85</v>
      </c>
      <c r="F38" s="2" t="s">
        <v>45</v>
      </c>
      <c r="G38" s="14">
        <f t="shared" si="0"/>
        <v>1.7</v>
      </c>
      <c r="H38" s="84"/>
    </row>
    <row r="39" spans="2:8" ht="12" customHeight="1">
      <c r="B39" s="2" t="s">
        <v>54</v>
      </c>
      <c r="C39" s="17">
        <f>((((($D$13+$D$14)*$D$7)*12))+(C40*2)+(C33*2))*1.2</f>
        <v>81.599999999999994</v>
      </c>
      <c r="E39" s="69">
        <f>'Price List'!D18</f>
        <v>0.23749999999999999</v>
      </c>
      <c r="F39" s="2" t="s">
        <v>45</v>
      </c>
      <c r="G39" s="14">
        <f t="shared" si="0"/>
        <v>19.38</v>
      </c>
      <c r="H39" s="84"/>
    </row>
    <row r="40" spans="2:8" ht="12" customHeight="1">
      <c r="B40" s="2" t="s">
        <v>55</v>
      </c>
      <c r="C40" s="17">
        <f>((($D$13+$D$14)*$D$7)*(D6/1320))+C31</f>
        <v>10</v>
      </c>
      <c r="E40" s="69">
        <f>'Price List'!D19</f>
        <v>5.5</v>
      </c>
      <c r="F40" s="2" t="s">
        <v>45</v>
      </c>
      <c r="G40" s="14">
        <f t="shared" si="0"/>
        <v>55</v>
      </c>
      <c r="H40" s="84"/>
    </row>
    <row r="41" spans="2:8" ht="12" customHeight="1">
      <c r="B41" s="2" t="s">
        <v>56</v>
      </c>
      <c r="C41" s="11">
        <f>(D18*((D19+8)*2)*D20)+(D17*(D16+8))</f>
        <v>0</v>
      </c>
      <c r="E41" s="69">
        <f>'Price List'!D20</f>
        <v>0.28749999999999998</v>
      </c>
      <c r="F41" s="2" t="s">
        <v>47</v>
      </c>
      <c r="G41" s="14">
        <f t="shared" si="0"/>
        <v>0</v>
      </c>
      <c r="H41" s="84"/>
    </row>
    <row r="42" spans="2:8" ht="12" customHeight="1">
      <c r="B42" s="7" t="s">
        <v>57</v>
      </c>
      <c r="C42" s="11">
        <f>(C45*2)+(C36*4)</f>
        <v>54.4</v>
      </c>
      <c r="D42" s="18">
        <f>C42/50</f>
        <v>1.0880000000000001</v>
      </c>
      <c r="E42" s="69">
        <f>'Price List'!C21</f>
        <v>3.5</v>
      </c>
      <c r="F42" s="2" t="s">
        <v>58</v>
      </c>
      <c r="G42" s="14">
        <f>E42*D42</f>
        <v>3.8080000000000003</v>
      </c>
      <c r="H42" s="84"/>
    </row>
    <row r="43" spans="2:8" ht="12" customHeight="1">
      <c r="B43" s="2" t="s">
        <v>59</v>
      </c>
      <c r="C43" s="11">
        <f>((C29+C30)*$D$7)+(C31*2)+(C33*2)+10</f>
        <v>30</v>
      </c>
      <c r="D43" s="18">
        <f>C43/55</f>
        <v>0.54545454545454541</v>
      </c>
      <c r="E43" s="69">
        <f>'Price List'!C13</f>
        <v>3.99</v>
      </c>
      <c r="F43" s="2" t="s">
        <v>58</v>
      </c>
      <c r="G43" s="14">
        <f>E43*D43</f>
        <v>2.1763636363636363</v>
      </c>
      <c r="H43" s="84"/>
    </row>
    <row r="44" spans="2:8" ht="12" customHeight="1">
      <c r="B44" s="7" t="s">
        <v>189</v>
      </c>
      <c r="C44" s="11">
        <f>(($D$6/$D$9)-$C$29)*D21</f>
        <v>17.2</v>
      </c>
      <c r="E44" s="69">
        <f>'Price List'!D5</f>
        <v>8</v>
      </c>
      <c r="F44" s="2" t="s">
        <v>45</v>
      </c>
      <c r="G44" s="14">
        <f t="shared" ref="G44:G49" si="1">E44*C44</f>
        <v>137.6</v>
      </c>
      <c r="H44" s="84"/>
    </row>
    <row r="45" spans="2:8" ht="12" customHeight="1">
      <c r="B45" s="7" t="s">
        <v>190</v>
      </c>
      <c r="C45" s="11">
        <f>(C30*$D$8)+($D$8*C44)</f>
        <v>19.2</v>
      </c>
      <c r="E45" s="69">
        <f>'Price List'!D22</f>
        <v>0.55000000000000004</v>
      </c>
      <c r="F45" s="2" t="s">
        <v>45</v>
      </c>
      <c r="G45" s="14">
        <f>E45*C45</f>
        <v>10.56</v>
      </c>
      <c r="H45" s="84"/>
    </row>
    <row r="46" spans="2:8" ht="12" customHeight="1">
      <c r="B46" s="7" t="str">
        <f>B22</f>
        <v>FIBERGLASS SUCKERROD 1.25" x 60"</v>
      </c>
      <c r="C46" s="11">
        <f>(($D$6/$D$9)-$C$29)*D22</f>
        <v>0</v>
      </c>
      <c r="E46" s="69">
        <f>'Price List'!D25</f>
        <v>9.375</v>
      </c>
      <c r="F46" s="2"/>
      <c r="G46" s="14">
        <f>E46*C46</f>
        <v>0</v>
      </c>
      <c r="H46" s="84"/>
    </row>
    <row r="47" spans="2:8" ht="12" customHeight="1">
      <c r="B47" s="7" t="str">
        <f>B23</f>
        <v>PASTURE PRO WPC  LINEPOST 1.125" X 60"</v>
      </c>
      <c r="C47" s="11">
        <f>(($D$6/$D$9)-$C$29)*D23</f>
        <v>68.8</v>
      </c>
      <c r="E47" s="69">
        <f>'Price List'!D27</f>
        <v>7.25</v>
      </c>
      <c r="F47" s="2" t="s">
        <v>45</v>
      </c>
      <c r="G47" s="19">
        <f t="shared" si="1"/>
        <v>498.79999999999995</v>
      </c>
      <c r="H47" s="84"/>
    </row>
    <row r="48" spans="2:8" ht="12" customHeight="1">
      <c r="B48" s="2" t="s">
        <v>74</v>
      </c>
      <c r="C48" s="11">
        <f>(C47*D7)</f>
        <v>275.2</v>
      </c>
      <c r="E48" s="16">
        <f>'Price List'!D31</f>
        <v>0.1075</v>
      </c>
      <c r="F48" s="2" t="s">
        <v>45</v>
      </c>
      <c r="G48" s="14">
        <f>E48*C48</f>
        <v>29.584</v>
      </c>
      <c r="H48" s="84"/>
    </row>
    <row r="49" spans="2:8" ht="12" customHeight="1">
      <c r="B49" s="7" t="str">
        <f>B24</f>
        <v>TIMELESS FENCE POLY-T POST 1.75" X 60"</v>
      </c>
      <c r="C49" s="11">
        <f>(($D$6/$D$9)-$C$29)*D24</f>
        <v>0</v>
      </c>
      <c r="E49" s="69">
        <f>'Price List'!D29</f>
        <v>8.75</v>
      </c>
      <c r="F49" s="2" t="s">
        <v>45</v>
      </c>
      <c r="G49" s="14">
        <f t="shared" si="1"/>
        <v>0</v>
      </c>
      <c r="H49" s="84"/>
    </row>
    <row r="50" spans="2:8" ht="12.75" customHeight="1">
      <c r="H50" s="85"/>
    </row>
    <row r="51" spans="2:8">
      <c r="C51" s="20" t="s">
        <v>60</v>
      </c>
      <c r="D51" s="9"/>
      <c r="E51" s="9"/>
      <c r="F51" s="9"/>
      <c r="G51" s="21">
        <f>SUM(G29:G49)</f>
        <v>1264.4458636363636</v>
      </c>
      <c r="H51" s="86" t="s">
        <v>75</v>
      </c>
    </row>
    <row r="52" spans="2:8">
      <c r="C52" s="20" t="s">
        <v>61</v>
      </c>
      <c r="D52" s="9"/>
      <c r="E52" s="9"/>
      <c r="F52" s="9"/>
      <c r="G52" s="22">
        <f>G51/$D$6</f>
        <v>0.4789567665289256</v>
      </c>
      <c r="H52" s="86"/>
    </row>
    <row r="53" spans="2:8">
      <c r="C53" s="20" t="s">
        <v>62</v>
      </c>
      <c r="D53" s="9"/>
      <c r="E53" s="9"/>
      <c r="F53" s="9"/>
      <c r="G53" s="23">
        <f>G52*1320</f>
        <v>632.22293181818179</v>
      </c>
      <c r="H53" s="86"/>
    </row>
    <row r="54" spans="2:8">
      <c r="C54" s="20" t="s">
        <v>63</v>
      </c>
      <c r="D54" s="9"/>
      <c r="E54" s="9"/>
      <c r="F54" s="9"/>
      <c r="G54" s="23">
        <f>G51/$D$4</f>
        <v>7.9027866477272726</v>
      </c>
      <c r="H54" s="86"/>
    </row>
    <row r="55" spans="2:8">
      <c r="H55" s="8"/>
    </row>
    <row r="56" spans="2:8" ht="15.6">
      <c r="B56" s="27" t="s">
        <v>68</v>
      </c>
      <c r="C56" s="29">
        <v>3</v>
      </c>
      <c r="D56" s="30" t="s">
        <v>70</v>
      </c>
    </row>
    <row r="57" spans="2:8" ht="14.4" customHeight="1">
      <c r="B57" t="s">
        <v>79</v>
      </c>
      <c r="C57" s="25">
        <v>1</v>
      </c>
      <c r="E57" s="24">
        <v>535</v>
      </c>
      <c r="F57" t="s">
        <v>45</v>
      </c>
      <c r="G57" s="14">
        <f t="shared" ref="G57:G64" si="2">E57*C57</f>
        <v>535</v>
      </c>
      <c r="H57" s="76" t="s">
        <v>80</v>
      </c>
    </row>
    <row r="58" spans="2:8">
      <c r="B58" t="s">
        <v>81</v>
      </c>
      <c r="C58" s="25">
        <v>0</v>
      </c>
      <c r="E58" s="24">
        <v>125</v>
      </c>
      <c r="F58" t="s">
        <v>45</v>
      </c>
      <c r="G58" s="14">
        <f t="shared" si="2"/>
        <v>0</v>
      </c>
      <c r="H58" s="76"/>
    </row>
    <row r="59" spans="2:8">
      <c r="B59" t="s">
        <v>64</v>
      </c>
      <c r="C59" s="25">
        <v>0</v>
      </c>
      <c r="E59" s="24">
        <v>25.75</v>
      </c>
      <c r="F59" t="s">
        <v>45</v>
      </c>
      <c r="G59" s="14">
        <f t="shared" si="2"/>
        <v>0</v>
      </c>
      <c r="H59" s="76"/>
    </row>
    <row r="60" spans="2:8">
      <c r="B60" t="s">
        <v>82</v>
      </c>
      <c r="C60" s="25">
        <v>1</v>
      </c>
      <c r="E60" s="24">
        <v>125</v>
      </c>
      <c r="G60" s="14">
        <f t="shared" si="2"/>
        <v>125</v>
      </c>
      <c r="H60" s="76"/>
    </row>
    <row r="61" spans="2:8">
      <c r="B61" t="s">
        <v>65</v>
      </c>
      <c r="C61" s="25">
        <v>3</v>
      </c>
      <c r="E61" s="24">
        <v>12.75</v>
      </c>
      <c r="F61" t="s">
        <v>45</v>
      </c>
      <c r="G61" s="14">
        <f t="shared" si="2"/>
        <v>38.25</v>
      </c>
      <c r="H61" s="76"/>
    </row>
    <row r="62" spans="2:8">
      <c r="B62" t="s">
        <v>66</v>
      </c>
      <c r="C62" s="25">
        <v>3</v>
      </c>
      <c r="E62" s="24">
        <v>1.95</v>
      </c>
      <c r="F62" t="s">
        <v>45</v>
      </c>
      <c r="G62" s="14">
        <f t="shared" si="2"/>
        <v>5.85</v>
      </c>
      <c r="H62" s="76"/>
    </row>
    <row r="63" spans="2:8">
      <c r="B63" t="s">
        <v>67</v>
      </c>
      <c r="C63" s="25">
        <v>1</v>
      </c>
      <c r="E63" s="24">
        <v>8.25</v>
      </c>
      <c r="F63" t="s">
        <v>45</v>
      </c>
      <c r="G63" s="14">
        <f t="shared" si="2"/>
        <v>8.25</v>
      </c>
      <c r="H63" s="76"/>
    </row>
    <row r="64" spans="2:8">
      <c r="B64" t="s">
        <v>56</v>
      </c>
      <c r="C64" s="25">
        <v>40</v>
      </c>
      <c r="E64" s="26">
        <v>0.22</v>
      </c>
      <c r="F64" t="s">
        <v>47</v>
      </c>
      <c r="G64" s="14">
        <f t="shared" si="2"/>
        <v>8.8000000000000007</v>
      </c>
      <c r="H64" s="76"/>
    </row>
    <row r="66" spans="4:7">
      <c r="D66" s="73" t="s">
        <v>69</v>
      </c>
      <c r="E66" s="73"/>
      <c r="F66" s="73"/>
      <c r="G66" s="28">
        <f>SUM(G57:G64)</f>
        <v>721.15</v>
      </c>
    </row>
    <row r="67" spans="4:7">
      <c r="D67" s="73" t="s">
        <v>71</v>
      </c>
      <c r="E67" s="73"/>
      <c r="F67" s="73"/>
      <c r="G67" s="28">
        <f>G66/15840</f>
        <v>4.5527146464646465E-2</v>
      </c>
    </row>
    <row r="68" spans="4:7">
      <c r="D68" s="73" t="s">
        <v>72</v>
      </c>
      <c r="E68" s="73"/>
      <c r="F68" s="73"/>
      <c r="G68" s="28">
        <f>G67*1320</f>
        <v>60.095833333333331</v>
      </c>
    </row>
    <row r="69" spans="4:7">
      <c r="D69" s="73" t="s">
        <v>73</v>
      </c>
      <c r="E69" s="73"/>
      <c r="F69" s="73"/>
      <c r="G69" s="28">
        <f>G66/D4</f>
        <v>4.5071874999999997</v>
      </c>
    </row>
  </sheetData>
  <mergeCells count="30">
    <mergeCell ref="D69:F69"/>
    <mergeCell ref="E21:H21"/>
    <mergeCell ref="E22:H22"/>
    <mergeCell ref="E23:H23"/>
    <mergeCell ref="E24:H24"/>
    <mergeCell ref="H51:H54"/>
    <mergeCell ref="H57:H64"/>
    <mergeCell ref="D66:F66"/>
    <mergeCell ref="D67:F67"/>
    <mergeCell ref="D68:F68"/>
    <mergeCell ref="C27:C28"/>
    <mergeCell ref="H29:H50"/>
    <mergeCell ref="E15:H15"/>
    <mergeCell ref="E16:H16"/>
    <mergeCell ref="E17:H17"/>
    <mergeCell ref="E18:H18"/>
    <mergeCell ref="E19:H19"/>
    <mergeCell ref="E20:H20"/>
    <mergeCell ref="E14:H14"/>
    <mergeCell ref="A1:H1"/>
    <mergeCell ref="E4:H4"/>
    <mergeCell ref="E5:H5"/>
    <mergeCell ref="E6:H6"/>
    <mergeCell ref="E7:H7"/>
    <mergeCell ref="E8:H8"/>
    <mergeCell ref="E9:H9"/>
    <mergeCell ref="E10:H10"/>
    <mergeCell ref="E11:H11"/>
    <mergeCell ref="E12:H12"/>
    <mergeCell ref="E13:H13"/>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89343F-6DFD-46B5-945C-80C74F325351}">
  <dimension ref="A1:H69"/>
  <sheetViews>
    <sheetView topLeftCell="A25" workbookViewId="0">
      <selection activeCell="D29" sqref="D29:E49"/>
    </sheetView>
  </sheetViews>
  <sheetFormatPr defaultRowHeight="14.4"/>
  <cols>
    <col min="1" max="1" width="4.6640625" customWidth="1"/>
    <col min="2" max="2" width="40.88671875" customWidth="1"/>
    <col min="4" max="4" width="10.21875" customWidth="1"/>
    <col min="5" max="5" width="11" customWidth="1"/>
    <col min="7" max="7" width="11.109375" customWidth="1"/>
    <col min="8" max="8" width="40.44140625" customWidth="1"/>
  </cols>
  <sheetData>
    <row r="1" spans="1:8" ht="34.5" customHeight="1">
      <c r="A1" s="78" t="s">
        <v>181</v>
      </c>
      <c r="B1" s="79"/>
      <c r="C1" s="79"/>
      <c r="D1" s="79"/>
      <c r="E1" s="79"/>
      <c r="F1" s="79"/>
      <c r="G1" s="79"/>
      <c r="H1" s="80"/>
    </row>
    <row r="3" spans="1:8">
      <c r="A3" s="1" t="s">
        <v>0</v>
      </c>
    </row>
    <row r="4" spans="1:8" ht="15.6">
      <c r="B4" s="2" t="s">
        <v>1</v>
      </c>
      <c r="D4" s="3">
        <v>160</v>
      </c>
      <c r="E4" s="74" t="s">
        <v>2</v>
      </c>
      <c r="F4" s="75"/>
      <c r="G4" s="75"/>
      <c r="H4" s="75"/>
    </row>
    <row r="5" spans="1:8" ht="15.6">
      <c r="B5" s="2" t="s">
        <v>3</v>
      </c>
      <c r="D5" s="4">
        <v>1</v>
      </c>
      <c r="E5" s="74" t="s">
        <v>4</v>
      </c>
      <c r="F5" s="75"/>
      <c r="G5" s="75"/>
      <c r="H5" s="75"/>
    </row>
    <row r="6" spans="1:8" ht="15.6">
      <c r="B6" s="2" t="s">
        <v>5</v>
      </c>
      <c r="D6" s="5">
        <v>2640</v>
      </c>
      <c r="E6" s="74" t="s">
        <v>6</v>
      </c>
      <c r="F6" s="75"/>
      <c r="G6" s="75"/>
      <c r="H6" s="75"/>
    </row>
    <row r="7" spans="1:8" ht="15.6">
      <c r="B7" s="2" t="s">
        <v>7</v>
      </c>
      <c r="D7" s="4">
        <v>5</v>
      </c>
      <c r="E7" s="74" t="s">
        <v>8</v>
      </c>
      <c r="F7" s="75"/>
      <c r="G7" s="75"/>
      <c r="H7" s="75"/>
    </row>
    <row r="8" spans="1:8" ht="15.6">
      <c r="B8" s="2" t="s">
        <v>9</v>
      </c>
      <c r="D8" s="4">
        <v>5</v>
      </c>
      <c r="E8" s="74" t="s">
        <v>10</v>
      </c>
      <c r="F8" s="75"/>
      <c r="G8" s="75"/>
      <c r="H8" s="75"/>
    </row>
    <row r="9" spans="1:8" ht="15.6">
      <c r="B9" s="2" t="s">
        <v>11</v>
      </c>
      <c r="D9" s="4">
        <v>30</v>
      </c>
      <c r="E9" s="74" t="s">
        <v>12</v>
      </c>
      <c r="F9" s="75"/>
      <c r="G9" s="75"/>
      <c r="H9" s="75"/>
    </row>
    <row r="10" spans="1:8" ht="15.6">
      <c r="B10" s="2" t="s">
        <v>13</v>
      </c>
      <c r="D10" s="4">
        <v>0</v>
      </c>
      <c r="E10" s="74" t="s">
        <v>14</v>
      </c>
      <c r="F10" s="75"/>
      <c r="G10" s="75"/>
      <c r="H10" s="75"/>
    </row>
    <row r="11" spans="1:8" ht="15.6">
      <c r="B11" s="2" t="s">
        <v>15</v>
      </c>
      <c r="D11" s="4">
        <v>0</v>
      </c>
      <c r="E11" s="74" t="s">
        <v>16</v>
      </c>
      <c r="F11" s="75"/>
      <c r="G11" s="75"/>
      <c r="H11" s="75"/>
    </row>
    <row r="12" spans="1:8" ht="15.6">
      <c r="B12" s="2" t="s">
        <v>17</v>
      </c>
      <c r="D12" s="4">
        <v>1</v>
      </c>
      <c r="E12" s="74" t="s">
        <v>18</v>
      </c>
      <c r="F12" s="75"/>
      <c r="G12" s="75"/>
      <c r="H12" s="75"/>
    </row>
    <row r="13" spans="1:8" ht="15.6">
      <c r="B13" s="2" t="s">
        <v>19</v>
      </c>
      <c r="D13" s="4">
        <v>1</v>
      </c>
      <c r="E13" s="74" t="s">
        <v>20</v>
      </c>
      <c r="F13" s="75"/>
      <c r="G13" s="75"/>
      <c r="H13" s="75"/>
    </row>
    <row r="14" spans="1:8" ht="15.6">
      <c r="B14" s="2" t="s">
        <v>21</v>
      </c>
      <c r="D14" s="4">
        <v>0</v>
      </c>
      <c r="E14" s="74" t="s">
        <v>22</v>
      </c>
      <c r="F14" s="75"/>
      <c r="G14" s="75"/>
      <c r="H14" s="75"/>
    </row>
    <row r="15" spans="1:8" ht="15.6">
      <c r="B15" s="2" t="s">
        <v>23</v>
      </c>
      <c r="D15" s="4">
        <v>0</v>
      </c>
      <c r="E15" s="74" t="s">
        <v>24</v>
      </c>
      <c r="F15" s="75"/>
      <c r="G15" s="75"/>
      <c r="H15" s="75"/>
    </row>
    <row r="16" spans="1:8" ht="15.6">
      <c r="B16" s="2" t="s">
        <v>25</v>
      </c>
      <c r="D16" s="4">
        <v>0</v>
      </c>
      <c r="E16" s="74" t="s">
        <v>26</v>
      </c>
      <c r="F16" s="75"/>
      <c r="G16" s="75"/>
      <c r="H16" s="75"/>
    </row>
    <row r="17" spans="1:8" ht="15.6">
      <c r="B17" s="2" t="s">
        <v>27</v>
      </c>
      <c r="D17" s="4">
        <v>0</v>
      </c>
      <c r="E17" s="74" t="s">
        <v>28</v>
      </c>
      <c r="F17" s="75"/>
      <c r="G17" s="75"/>
      <c r="H17" s="75"/>
    </row>
    <row r="18" spans="1:8" ht="15.6">
      <c r="B18" s="2" t="s">
        <v>29</v>
      </c>
      <c r="D18" s="4">
        <v>0</v>
      </c>
      <c r="E18" s="74" t="s">
        <v>30</v>
      </c>
      <c r="F18" s="75"/>
      <c r="G18" s="75"/>
      <c r="H18" s="75"/>
    </row>
    <row r="19" spans="1:8" ht="15.6">
      <c r="B19" s="2" t="s">
        <v>31</v>
      </c>
      <c r="D19" s="4">
        <v>0</v>
      </c>
      <c r="E19" s="74" t="s">
        <v>32</v>
      </c>
      <c r="F19" s="75"/>
      <c r="G19" s="75"/>
      <c r="H19" s="75"/>
    </row>
    <row r="20" spans="1:8" ht="15.6">
      <c r="B20" s="2" t="s">
        <v>33</v>
      </c>
      <c r="D20" s="4">
        <v>0</v>
      </c>
      <c r="E20" s="74" t="s">
        <v>34</v>
      </c>
      <c r="F20" s="77"/>
      <c r="G20" s="77"/>
      <c r="H20" s="77"/>
    </row>
    <row r="21" spans="1:8" ht="15.6">
      <c r="B21" s="2" t="s">
        <v>35</v>
      </c>
      <c r="D21" s="6">
        <v>0.2</v>
      </c>
      <c r="E21" s="74" t="s">
        <v>36</v>
      </c>
      <c r="F21" s="75"/>
      <c r="G21" s="75"/>
      <c r="H21" s="75"/>
    </row>
    <row r="22" spans="1:8" ht="15.6">
      <c r="B22" s="2" t="s">
        <v>85</v>
      </c>
      <c r="D22" s="6">
        <v>0</v>
      </c>
      <c r="E22" s="74" t="s">
        <v>36</v>
      </c>
      <c r="F22" s="75"/>
      <c r="G22" s="75"/>
      <c r="H22" s="75"/>
    </row>
    <row r="23" spans="1:8" ht="15.6">
      <c r="B23" s="7" t="s">
        <v>86</v>
      </c>
      <c r="D23" s="6">
        <v>0.8</v>
      </c>
      <c r="E23" s="74" t="s">
        <v>36</v>
      </c>
      <c r="F23" s="75"/>
      <c r="G23" s="75"/>
      <c r="H23" s="75"/>
    </row>
    <row r="24" spans="1:8" ht="15.6">
      <c r="B24" s="7" t="s">
        <v>87</v>
      </c>
      <c r="D24" s="6">
        <v>0</v>
      </c>
      <c r="E24" s="74" t="s">
        <v>36</v>
      </c>
      <c r="F24" s="75"/>
      <c r="G24" s="75"/>
      <c r="H24" s="75"/>
    </row>
    <row r="25" spans="1:8">
      <c r="H25" s="8"/>
    </row>
    <row r="26" spans="1:8">
      <c r="A26" s="1" t="s">
        <v>37</v>
      </c>
      <c r="H26" s="8"/>
    </row>
    <row r="27" spans="1:8">
      <c r="A27" s="9" t="s">
        <v>38</v>
      </c>
      <c r="B27" s="9"/>
      <c r="C27" s="81" t="s">
        <v>39</v>
      </c>
      <c r="D27" s="9"/>
      <c r="E27" s="10" t="s">
        <v>40</v>
      </c>
      <c r="F27" s="9"/>
      <c r="G27" s="9"/>
      <c r="H27" s="8"/>
    </row>
    <row r="28" spans="1:8">
      <c r="A28" s="2" t="s">
        <v>41</v>
      </c>
      <c r="B28" s="10" t="s">
        <v>42</v>
      </c>
      <c r="C28" s="82"/>
      <c r="D28" s="9"/>
      <c r="E28" s="10" t="s">
        <v>43</v>
      </c>
      <c r="F28" s="9"/>
      <c r="G28" s="10" t="s">
        <v>44</v>
      </c>
      <c r="H28" s="8"/>
    </row>
    <row r="29" spans="1:8" ht="12" customHeight="1">
      <c r="B29" s="7" t="s">
        <v>186</v>
      </c>
      <c r="C29" s="11">
        <f>(D13*2)+(D14*3)</f>
        <v>2</v>
      </c>
      <c r="E29" s="69">
        <f>'Price List'!D2</f>
        <v>17</v>
      </c>
      <c r="F29" s="13" t="s">
        <v>45</v>
      </c>
      <c r="G29" s="14">
        <f t="shared" ref="G29:G41" si="0">E29*C29</f>
        <v>34</v>
      </c>
      <c r="H29" s="83" t="s">
        <v>191</v>
      </c>
    </row>
    <row r="30" spans="1:8" ht="12" customHeight="1">
      <c r="B30" s="7" t="s">
        <v>187</v>
      </c>
      <c r="C30" s="11">
        <f>($D$13*2*$D$12)+($D$14*4*$D$12)</f>
        <v>2</v>
      </c>
      <c r="E30" s="69">
        <f>'Price List'!D5</f>
        <v>8</v>
      </c>
      <c r="F30" s="13" t="s">
        <v>45</v>
      </c>
      <c r="G30" s="14">
        <f t="shared" si="0"/>
        <v>16</v>
      </c>
      <c r="H30" s="84"/>
    </row>
    <row r="31" spans="1:8" ht="12" customHeight="1">
      <c r="B31" s="7" t="s">
        <v>188</v>
      </c>
      <c r="C31" s="11">
        <f>(C30)+($D$11*$D$13*2)+($D$11*$D$14*4)</f>
        <v>2</v>
      </c>
      <c r="E31" s="69">
        <f>'Price List'!D4</f>
        <v>16</v>
      </c>
      <c r="F31" s="13" t="s">
        <v>45</v>
      </c>
      <c r="G31" s="14">
        <f t="shared" si="0"/>
        <v>32</v>
      </c>
      <c r="H31" s="84"/>
    </row>
    <row r="32" spans="1:8" ht="12" customHeight="1">
      <c r="B32" s="2" t="s">
        <v>46</v>
      </c>
      <c r="C32" s="11">
        <f>(D15+(D18*4))*0.5</f>
        <v>0</v>
      </c>
      <c r="E32" s="69">
        <f>'Price List'!D15</f>
        <v>0.4975</v>
      </c>
      <c r="F32" s="13" t="s">
        <v>47</v>
      </c>
      <c r="G32" s="14">
        <f t="shared" si="0"/>
        <v>0</v>
      </c>
      <c r="H32" s="84"/>
    </row>
    <row r="33" spans="2:8" ht="12" customHeight="1">
      <c r="B33" s="2" t="s">
        <v>48</v>
      </c>
      <c r="C33" s="11">
        <f>D15+(D18*3)</f>
        <v>0</v>
      </c>
      <c r="E33" s="12">
        <v>5</v>
      </c>
      <c r="F33" s="2" t="s">
        <v>45</v>
      </c>
      <c r="G33" s="14">
        <f t="shared" si="0"/>
        <v>0</v>
      </c>
      <c r="H33" s="84"/>
    </row>
    <row r="34" spans="2:8" ht="12" customHeight="1">
      <c r="B34" s="7" t="s">
        <v>49</v>
      </c>
      <c r="C34" s="11">
        <f>C33*D7</f>
        <v>0</v>
      </c>
      <c r="E34" s="12">
        <v>0.4</v>
      </c>
      <c r="F34" s="2" t="s">
        <v>45</v>
      </c>
      <c r="G34" s="14">
        <f t="shared" si="0"/>
        <v>0</v>
      </c>
      <c r="H34" s="84"/>
    </row>
    <row r="35" spans="2:8" ht="12" customHeight="1">
      <c r="B35" s="7" t="s">
        <v>50</v>
      </c>
      <c r="C35" s="11">
        <f>((D15*D16*D7)+(D18*D19*D7*3))</f>
        <v>0</v>
      </c>
      <c r="E35" s="12">
        <f>109.5/660</f>
        <v>0.16590909090909092</v>
      </c>
      <c r="F35" s="2" t="s">
        <v>45</v>
      </c>
      <c r="G35" s="14">
        <f t="shared" si="0"/>
        <v>0</v>
      </c>
      <c r="H35" s="84"/>
    </row>
    <row r="36" spans="2:8" ht="12" customHeight="1">
      <c r="B36" s="2" t="s">
        <v>51</v>
      </c>
      <c r="C36" s="11">
        <v>4</v>
      </c>
      <c r="E36" s="12">
        <v>6.75</v>
      </c>
      <c r="F36" s="2" t="s">
        <v>45</v>
      </c>
      <c r="G36" s="14">
        <f t="shared" si="0"/>
        <v>27</v>
      </c>
      <c r="H36" s="84"/>
    </row>
    <row r="37" spans="2:8" ht="12" customHeight="1">
      <c r="B37" s="2" t="s">
        <v>52</v>
      </c>
      <c r="C37" s="11">
        <f>($D$6*$D$7)+(C31*20)</f>
        <v>13240</v>
      </c>
      <c r="D37" s="15">
        <f>'Price List'!C16</f>
        <v>149.75</v>
      </c>
      <c r="E37" s="16">
        <f>D37/4000</f>
        <v>3.7437499999999999E-2</v>
      </c>
      <c r="F37" s="2" t="s">
        <v>47</v>
      </c>
      <c r="G37" s="14">
        <f t="shared" si="0"/>
        <v>495.67249999999996</v>
      </c>
      <c r="H37" s="84"/>
    </row>
    <row r="38" spans="2:8" ht="12" customHeight="1">
      <c r="B38" s="2" t="s">
        <v>53</v>
      </c>
      <c r="C38">
        <f>(D13*D8*2)+(D14*D8*2)</f>
        <v>10</v>
      </c>
      <c r="E38" s="69">
        <f>'Price List'!D17</f>
        <v>0.85</v>
      </c>
      <c r="F38" s="2" t="s">
        <v>45</v>
      </c>
      <c r="G38" s="14">
        <f t="shared" si="0"/>
        <v>8.5</v>
      </c>
      <c r="H38" s="84"/>
    </row>
    <row r="39" spans="2:8" ht="12" customHeight="1">
      <c r="B39" s="2" t="s">
        <v>54</v>
      </c>
      <c r="C39" s="17">
        <f>((((($D$13+$D$14)*$D$7)*12))+(C40*2)+(C33*2))*1.2</f>
        <v>100.8</v>
      </c>
      <c r="E39" s="69">
        <f>'Price List'!D18</f>
        <v>0.23749999999999999</v>
      </c>
      <c r="F39" s="2" t="s">
        <v>45</v>
      </c>
      <c r="G39" s="14">
        <f t="shared" si="0"/>
        <v>23.939999999999998</v>
      </c>
      <c r="H39" s="84"/>
    </row>
    <row r="40" spans="2:8" ht="12" customHeight="1">
      <c r="B40" s="2" t="s">
        <v>55</v>
      </c>
      <c r="C40" s="17">
        <f>((($D$13+$D$14)*$D$7)*(D6/1320))+C31</f>
        <v>12</v>
      </c>
      <c r="E40" s="69">
        <f>'Price List'!D19</f>
        <v>5.5</v>
      </c>
      <c r="F40" s="2" t="s">
        <v>45</v>
      </c>
      <c r="G40" s="14">
        <f t="shared" si="0"/>
        <v>66</v>
      </c>
      <c r="H40" s="84"/>
    </row>
    <row r="41" spans="2:8" ht="12" customHeight="1">
      <c r="B41" s="2" t="s">
        <v>56</v>
      </c>
      <c r="C41" s="11">
        <f>(D18*((D19+8)*2)*D20)+(D17*(D16+8))</f>
        <v>0</v>
      </c>
      <c r="E41" s="69">
        <f>'Price List'!D20</f>
        <v>0.28749999999999998</v>
      </c>
      <c r="F41" s="2" t="s">
        <v>47</v>
      </c>
      <c r="G41" s="14">
        <f t="shared" si="0"/>
        <v>0</v>
      </c>
      <c r="H41" s="84"/>
    </row>
    <row r="42" spans="2:8" ht="12" customHeight="1">
      <c r="B42" s="7" t="s">
        <v>57</v>
      </c>
      <c r="C42" s="11">
        <f>(C45*2)+(C36*4)</f>
        <v>208</v>
      </c>
      <c r="D42" s="18">
        <f>C42/50</f>
        <v>4.16</v>
      </c>
      <c r="E42" s="69">
        <f>'Price List'!C21</f>
        <v>3.5</v>
      </c>
      <c r="F42" s="2" t="s">
        <v>58</v>
      </c>
      <c r="G42" s="14">
        <f>E42*D42</f>
        <v>14.56</v>
      </c>
      <c r="H42" s="84"/>
    </row>
    <row r="43" spans="2:8" ht="12" customHeight="1">
      <c r="B43" s="2" t="s">
        <v>59</v>
      </c>
      <c r="C43" s="11">
        <f>((C29+C30)*$D$7)+(C31*2)+(C33*2)+10</f>
        <v>34</v>
      </c>
      <c r="D43" s="18">
        <f>C43/55</f>
        <v>0.61818181818181817</v>
      </c>
      <c r="E43" s="69">
        <f>'Price List'!C13</f>
        <v>3.99</v>
      </c>
      <c r="F43" s="2" t="s">
        <v>58</v>
      </c>
      <c r="G43" s="14">
        <f>E43*D43</f>
        <v>2.4665454545454546</v>
      </c>
      <c r="H43" s="84"/>
    </row>
    <row r="44" spans="2:8" ht="12" customHeight="1">
      <c r="B44" s="7" t="s">
        <v>189</v>
      </c>
      <c r="C44" s="11">
        <f>(($D$6/$D$9)-$C$29)*D21</f>
        <v>17.2</v>
      </c>
      <c r="E44" s="69">
        <f>'Price List'!D5</f>
        <v>8</v>
      </c>
      <c r="F44" s="2" t="s">
        <v>45</v>
      </c>
      <c r="G44" s="14">
        <f t="shared" ref="G44:G49" si="1">E44*C44</f>
        <v>137.6</v>
      </c>
      <c r="H44" s="84"/>
    </row>
    <row r="45" spans="2:8" ht="12" customHeight="1">
      <c r="B45" s="7" t="s">
        <v>190</v>
      </c>
      <c r="C45" s="11">
        <f>(C30*$D$8)+($D$8*C44)</f>
        <v>96</v>
      </c>
      <c r="E45" s="69">
        <f>'Price List'!D22</f>
        <v>0.55000000000000004</v>
      </c>
      <c r="F45" s="2" t="s">
        <v>45</v>
      </c>
      <c r="G45" s="14">
        <f>E45*C45</f>
        <v>52.800000000000004</v>
      </c>
      <c r="H45" s="84"/>
    </row>
    <row r="46" spans="2:8" ht="12" customHeight="1">
      <c r="B46" s="7" t="str">
        <f>B22</f>
        <v>FIBERGLASS SUCKERROD 1.25" x 60"</v>
      </c>
      <c r="C46" s="11">
        <f>(($D$6/$D$9)-$C$29)*D22</f>
        <v>0</v>
      </c>
      <c r="E46" s="69">
        <f>'Price List'!D25</f>
        <v>9.375</v>
      </c>
      <c r="F46" s="2"/>
      <c r="G46" s="14">
        <f>E46*C46</f>
        <v>0</v>
      </c>
      <c r="H46" s="84"/>
    </row>
    <row r="47" spans="2:8" ht="12" customHeight="1">
      <c r="B47" s="7" t="str">
        <f>B23</f>
        <v>PASTURE PRO WPC  LINEPOST 1.125" X 60"</v>
      </c>
      <c r="C47" s="11">
        <f>(($D$6/$D$9)-$C$29)*D23</f>
        <v>68.8</v>
      </c>
      <c r="E47" s="69">
        <f>'Price List'!D27</f>
        <v>7.25</v>
      </c>
      <c r="F47" s="2" t="s">
        <v>45</v>
      </c>
      <c r="G47" s="19">
        <f t="shared" si="1"/>
        <v>498.79999999999995</v>
      </c>
      <c r="H47" s="84"/>
    </row>
    <row r="48" spans="2:8" ht="12" customHeight="1">
      <c r="B48" s="2" t="s">
        <v>74</v>
      </c>
      <c r="C48" s="11">
        <f>(C47*D7)</f>
        <v>344</v>
      </c>
      <c r="E48" s="16">
        <f>'Price List'!D31</f>
        <v>0.1075</v>
      </c>
      <c r="F48" s="2" t="s">
        <v>45</v>
      </c>
      <c r="G48" s="14">
        <f>E48*C48</f>
        <v>36.979999999999997</v>
      </c>
      <c r="H48" s="84"/>
    </row>
    <row r="49" spans="2:8" ht="12" customHeight="1">
      <c r="B49" s="7" t="str">
        <f>B24</f>
        <v>TIMELESS FENCE POLY-T POST 1.5" X 60"</v>
      </c>
      <c r="C49" s="11">
        <f>(($D$6/$D$9)-$C$29)*D24</f>
        <v>0</v>
      </c>
      <c r="E49" s="69">
        <f>'Price List'!D29</f>
        <v>8.75</v>
      </c>
      <c r="F49" s="2" t="s">
        <v>45</v>
      </c>
      <c r="G49" s="14">
        <f t="shared" si="1"/>
        <v>0</v>
      </c>
      <c r="H49" s="84"/>
    </row>
    <row r="50" spans="2:8" ht="12.75" customHeight="1">
      <c r="H50" s="85"/>
    </row>
    <row r="51" spans="2:8">
      <c r="C51" s="20" t="s">
        <v>60</v>
      </c>
      <c r="D51" s="9"/>
      <c r="E51" s="9"/>
      <c r="F51" s="9"/>
      <c r="G51" s="21">
        <f>SUM(G29:G49)</f>
        <v>1446.3190454545452</v>
      </c>
      <c r="H51" s="86" t="s">
        <v>75</v>
      </c>
    </row>
    <row r="52" spans="2:8">
      <c r="C52" s="20" t="s">
        <v>61</v>
      </c>
      <c r="D52" s="9"/>
      <c r="E52" s="9"/>
      <c r="F52" s="9"/>
      <c r="G52" s="22">
        <f>G51/$D$6</f>
        <v>0.54784812327823684</v>
      </c>
      <c r="H52" s="86"/>
    </row>
    <row r="53" spans="2:8">
      <c r="C53" s="20" t="s">
        <v>62</v>
      </c>
      <c r="D53" s="9"/>
      <c r="E53" s="9"/>
      <c r="F53" s="9"/>
      <c r="G53" s="23">
        <f>G52*1320</f>
        <v>723.15952272727259</v>
      </c>
      <c r="H53" s="86"/>
    </row>
    <row r="54" spans="2:8">
      <c r="C54" s="20" t="s">
        <v>63</v>
      </c>
      <c r="D54" s="9"/>
      <c r="E54" s="9"/>
      <c r="F54" s="9"/>
      <c r="G54" s="23">
        <f>G51/$D$4</f>
        <v>9.0394940340909073</v>
      </c>
      <c r="H54" s="86"/>
    </row>
    <row r="55" spans="2:8">
      <c r="H55" s="8"/>
    </row>
    <row r="56" spans="2:8" ht="15.6">
      <c r="B56" s="27" t="s">
        <v>68</v>
      </c>
      <c r="C56" s="29">
        <v>3</v>
      </c>
      <c r="D56" s="30" t="s">
        <v>70</v>
      </c>
    </row>
    <row r="57" spans="2:8" ht="14.4" customHeight="1">
      <c r="B57" t="s">
        <v>79</v>
      </c>
      <c r="C57" s="25">
        <v>1</v>
      </c>
      <c r="E57" s="24">
        <v>535</v>
      </c>
      <c r="F57" t="s">
        <v>45</v>
      </c>
      <c r="G57" s="14">
        <f t="shared" ref="G57:G64" si="2">E57*C57</f>
        <v>535</v>
      </c>
      <c r="H57" s="76" t="s">
        <v>80</v>
      </c>
    </row>
    <row r="58" spans="2:8">
      <c r="B58" t="s">
        <v>81</v>
      </c>
      <c r="C58" s="25">
        <v>0</v>
      </c>
      <c r="E58" s="24">
        <v>125</v>
      </c>
      <c r="F58" t="s">
        <v>45</v>
      </c>
      <c r="G58" s="14">
        <f t="shared" si="2"/>
        <v>0</v>
      </c>
      <c r="H58" s="76"/>
    </row>
    <row r="59" spans="2:8">
      <c r="B59" t="s">
        <v>64</v>
      </c>
      <c r="C59" s="25">
        <v>0</v>
      </c>
      <c r="E59" s="24">
        <v>25.75</v>
      </c>
      <c r="F59" t="s">
        <v>45</v>
      </c>
      <c r="G59" s="14">
        <f t="shared" si="2"/>
        <v>0</v>
      </c>
      <c r="H59" s="76"/>
    </row>
    <row r="60" spans="2:8">
      <c r="B60" t="s">
        <v>82</v>
      </c>
      <c r="C60" s="25">
        <v>1</v>
      </c>
      <c r="E60" s="24">
        <v>125</v>
      </c>
      <c r="G60" s="14">
        <f t="shared" si="2"/>
        <v>125</v>
      </c>
      <c r="H60" s="76"/>
    </row>
    <row r="61" spans="2:8">
      <c r="B61" t="s">
        <v>65</v>
      </c>
      <c r="C61" s="25">
        <v>3</v>
      </c>
      <c r="E61" s="24">
        <v>12.75</v>
      </c>
      <c r="F61" t="s">
        <v>45</v>
      </c>
      <c r="G61" s="14">
        <f t="shared" si="2"/>
        <v>38.25</v>
      </c>
      <c r="H61" s="76"/>
    </row>
    <row r="62" spans="2:8">
      <c r="B62" t="s">
        <v>66</v>
      </c>
      <c r="C62" s="25">
        <v>3</v>
      </c>
      <c r="E62" s="24">
        <v>1.95</v>
      </c>
      <c r="F62" t="s">
        <v>45</v>
      </c>
      <c r="G62" s="14">
        <f t="shared" si="2"/>
        <v>5.85</v>
      </c>
      <c r="H62" s="76"/>
    </row>
    <row r="63" spans="2:8">
      <c r="B63" t="s">
        <v>67</v>
      </c>
      <c r="C63" s="25">
        <v>1</v>
      </c>
      <c r="E63" s="24">
        <v>8.25</v>
      </c>
      <c r="F63" t="s">
        <v>45</v>
      </c>
      <c r="G63" s="14">
        <f t="shared" si="2"/>
        <v>8.25</v>
      </c>
      <c r="H63" s="76"/>
    </row>
    <row r="64" spans="2:8">
      <c r="B64" t="s">
        <v>56</v>
      </c>
      <c r="C64" s="25">
        <v>40</v>
      </c>
      <c r="E64" s="26">
        <v>0.22</v>
      </c>
      <c r="F64" t="s">
        <v>47</v>
      </c>
      <c r="G64" s="14">
        <f t="shared" si="2"/>
        <v>8.8000000000000007</v>
      </c>
      <c r="H64" s="76"/>
    </row>
    <row r="66" spans="4:7">
      <c r="D66" s="73" t="s">
        <v>69</v>
      </c>
      <c r="E66" s="73"/>
      <c r="F66" s="73"/>
      <c r="G66" s="28">
        <f>SUM(G57:G64)</f>
        <v>721.15</v>
      </c>
    </row>
    <row r="67" spans="4:7">
      <c r="D67" s="73" t="s">
        <v>71</v>
      </c>
      <c r="E67" s="73"/>
      <c r="F67" s="73"/>
      <c r="G67" s="28">
        <f>G66/15840</f>
        <v>4.5527146464646465E-2</v>
      </c>
    </row>
    <row r="68" spans="4:7">
      <c r="D68" s="73" t="s">
        <v>72</v>
      </c>
      <c r="E68" s="73"/>
      <c r="F68" s="73"/>
      <c r="G68" s="28">
        <f>G67*1320</f>
        <v>60.095833333333331</v>
      </c>
    </row>
    <row r="69" spans="4:7">
      <c r="D69" s="73" t="s">
        <v>73</v>
      </c>
      <c r="E69" s="73"/>
      <c r="F69" s="73"/>
      <c r="G69" s="28">
        <f>G66/D4</f>
        <v>4.5071874999999997</v>
      </c>
    </row>
  </sheetData>
  <mergeCells count="30">
    <mergeCell ref="D69:F69"/>
    <mergeCell ref="E21:H21"/>
    <mergeCell ref="E22:H22"/>
    <mergeCell ref="E23:H23"/>
    <mergeCell ref="E24:H24"/>
    <mergeCell ref="H51:H54"/>
    <mergeCell ref="H57:H64"/>
    <mergeCell ref="D66:F66"/>
    <mergeCell ref="D67:F67"/>
    <mergeCell ref="D68:F68"/>
    <mergeCell ref="C27:C28"/>
    <mergeCell ref="H29:H50"/>
    <mergeCell ref="E15:H15"/>
    <mergeCell ref="E16:H16"/>
    <mergeCell ref="E17:H17"/>
    <mergeCell ref="E18:H18"/>
    <mergeCell ref="E19:H19"/>
    <mergeCell ref="E20:H20"/>
    <mergeCell ref="E14:H14"/>
    <mergeCell ref="A1:H1"/>
    <mergeCell ref="E4:H4"/>
    <mergeCell ref="E5:H5"/>
    <mergeCell ref="E6:H6"/>
    <mergeCell ref="E7:H7"/>
    <mergeCell ref="E8:H8"/>
    <mergeCell ref="E9:H9"/>
    <mergeCell ref="E10:H10"/>
    <mergeCell ref="E11:H11"/>
    <mergeCell ref="E12:H12"/>
    <mergeCell ref="E13:H13"/>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A8F7CC-9F3F-4E60-88B5-642223447386}">
  <dimension ref="A1:H69"/>
  <sheetViews>
    <sheetView topLeftCell="A24" workbookViewId="0">
      <selection activeCell="E50" sqref="E50"/>
    </sheetView>
  </sheetViews>
  <sheetFormatPr defaultRowHeight="14.4"/>
  <cols>
    <col min="1" max="1" width="4.6640625" customWidth="1"/>
    <col min="2" max="2" width="40.88671875" customWidth="1"/>
    <col min="4" max="4" width="10.21875" customWidth="1"/>
    <col min="5" max="5" width="11" customWidth="1"/>
    <col min="7" max="7" width="11.109375" customWidth="1"/>
    <col min="8" max="8" width="39.6640625" customWidth="1"/>
  </cols>
  <sheetData>
    <row r="1" spans="1:8" ht="34.5" customHeight="1">
      <c r="A1" s="78" t="s">
        <v>180</v>
      </c>
      <c r="B1" s="79"/>
      <c r="C1" s="79"/>
      <c r="D1" s="79"/>
      <c r="E1" s="79"/>
      <c r="F1" s="79"/>
      <c r="G1" s="79"/>
      <c r="H1" s="80"/>
    </row>
    <row r="3" spans="1:8">
      <c r="A3" s="1" t="s">
        <v>0</v>
      </c>
    </row>
    <row r="4" spans="1:8" ht="15.6">
      <c r="B4" s="2" t="s">
        <v>1</v>
      </c>
      <c r="D4" s="3">
        <v>160</v>
      </c>
      <c r="E4" s="74" t="s">
        <v>2</v>
      </c>
      <c r="F4" s="75"/>
      <c r="G4" s="75"/>
      <c r="H4" s="75"/>
    </row>
    <row r="5" spans="1:8" ht="15.6">
      <c r="B5" s="2" t="s">
        <v>3</v>
      </c>
      <c r="D5" s="4">
        <v>1</v>
      </c>
      <c r="E5" s="74" t="s">
        <v>4</v>
      </c>
      <c r="F5" s="75"/>
      <c r="G5" s="75"/>
      <c r="H5" s="75"/>
    </row>
    <row r="6" spans="1:8" ht="15.6">
      <c r="B6" s="2" t="s">
        <v>5</v>
      </c>
      <c r="D6" s="5">
        <v>2640</v>
      </c>
      <c r="E6" s="74" t="s">
        <v>6</v>
      </c>
      <c r="F6" s="75"/>
      <c r="G6" s="75"/>
      <c r="H6" s="75"/>
    </row>
    <row r="7" spans="1:8" ht="15.6">
      <c r="B7" s="2" t="s">
        <v>7</v>
      </c>
      <c r="D7" s="4">
        <v>8</v>
      </c>
      <c r="E7" s="74" t="s">
        <v>8</v>
      </c>
      <c r="F7" s="75"/>
      <c r="G7" s="75"/>
      <c r="H7" s="75"/>
    </row>
    <row r="8" spans="1:8" ht="15.6">
      <c r="B8" s="2" t="s">
        <v>9</v>
      </c>
      <c r="D8" s="4">
        <v>4</v>
      </c>
      <c r="E8" s="74" t="s">
        <v>10</v>
      </c>
      <c r="F8" s="75"/>
      <c r="G8" s="75"/>
      <c r="H8" s="75"/>
    </row>
    <row r="9" spans="1:8" ht="15.6">
      <c r="B9" s="2" t="s">
        <v>11</v>
      </c>
      <c r="D9" s="4">
        <v>20</v>
      </c>
      <c r="E9" s="74" t="s">
        <v>12</v>
      </c>
      <c r="F9" s="75"/>
      <c r="G9" s="75"/>
      <c r="H9" s="75"/>
    </row>
    <row r="10" spans="1:8" ht="15.6">
      <c r="B10" s="2" t="s">
        <v>13</v>
      </c>
      <c r="D10" s="4">
        <v>0</v>
      </c>
      <c r="E10" s="74" t="s">
        <v>14</v>
      </c>
      <c r="F10" s="75"/>
      <c r="G10" s="75"/>
      <c r="H10" s="75"/>
    </row>
    <row r="11" spans="1:8" ht="15.6">
      <c r="B11" s="2" t="s">
        <v>15</v>
      </c>
      <c r="D11" s="4">
        <v>0</v>
      </c>
      <c r="E11" s="74" t="s">
        <v>16</v>
      </c>
      <c r="F11" s="75"/>
      <c r="G11" s="75"/>
      <c r="H11" s="75"/>
    </row>
    <row r="12" spans="1:8" ht="15.6">
      <c r="B12" s="2" t="s">
        <v>17</v>
      </c>
      <c r="D12" s="4">
        <v>2</v>
      </c>
      <c r="E12" s="74" t="s">
        <v>18</v>
      </c>
      <c r="F12" s="75"/>
      <c r="G12" s="75"/>
      <c r="H12" s="75"/>
    </row>
    <row r="13" spans="1:8" ht="15.6">
      <c r="B13" s="2" t="s">
        <v>19</v>
      </c>
      <c r="D13" s="4">
        <v>1</v>
      </c>
      <c r="E13" s="74" t="s">
        <v>20</v>
      </c>
      <c r="F13" s="75"/>
      <c r="G13" s="75"/>
      <c r="H13" s="75"/>
    </row>
    <row r="14" spans="1:8" ht="15.6">
      <c r="B14" s="2" t="s">
        <v>21</v>
      </c>
      <c r="D14" s="4">
        <v>0</v>
      </c>
      <c r="E14" s="74" t="s">
        <v>22</v>
      </c>
      <c r="F14" s="75"/>
      <c r="G14" s="75"/>
      <c r="H14" s="75"/>
    </row>
    <row r="15" spans="1:8" ht="15.6">
      <c r="B15" s="2" t="s">
        <v>23</v>
      </c>
      <c r="D15" s="4">
        <v>0</v>
      </c>
      <c r="E15" s="74" t="s">
        <v>24</v>
      </c>
      <c r="F15" s="75"/>
      <c r="G15" s="75"/>
      <c r="H15" s="75"/>
    </row>
    <row r="16" spans="1:8" ht="15.6">
      <c r="B16" s="2" t="s">
        <v>25</v>
      </c>
      <c r="D16" s="4">
        <v>0</v>
      </c>
      <c r="E16" s="74" t="s">
        <v>26</v>
      </c>
      <c r="F16" s="75"/>
      <c r="G16" s="75"/>
      <c r="H16" s="75"/>
    </row>
    <row r="17" spans="1:8" ht="15.6">
      <c r="B17" s="2" t="s">
        <v>27</v>
      </c>
      <c r="D17" s="4">
        <v>0</v>
      </c>
      <c r="E17" s="74" t="s">
        <v>28</v>
      </c>
      <c r="F17" s="75"/>
      <c r="G17" s="75"/>
      <c r="H17" s="75"/>
    </row>
    <row r="18" spans="1:8" ht="15.6">
      <c r="B18" s="2" t="s">
        <v>29</v>
      </c>
      <c r="D18" s="4">
        <v>0</v>
      </c>
      <c r="E18" s="74" t="s">
        <v>30</v>
      </c>
      <c r="F18" s="75"/>
      <c r="G18" s="75"/>
      <c r="H18" s="75"/>
    </row>
    <row r="19" spans="1:8" ht="15.6">
      <c r="B19" s="2" t="s">
        <v>31</v>
      </c>
      <c r="D19" s="4">
        <v>0</v>
      </c>
      <c r="E19" s="74" t="s">
        <v>32</v>
      </c>
      <c r="F19" s="75"/>
      <c r="G19" s="75"/>
      <c r="H19" s="75"/>
    </row>
    <row r="20" spans="1:8" ht="15.6">
      <c r="B20" s="2" t="s">
        <v>33</v>
      </c>
      <c r="D20" s="4">
        <v>0</v>
      </c>
      <c r="E20" s="74" t="s">
        <v>34</v>
      </c>
      <c r="F20" s="77"/>
      <c r="G20" s="77"/>
      <c r="H20" s="77"/>
    </row>
    <row r="21" spans="1:8" ht="15.6">
      <c r="B21" s="2" t="s">
        <v>35</v>
      </c>
      <c r="D21" s="6">
        <v>0.2</v>
      </c>
      <c r="E21" s="74" t="s">
        <v>36</v>
      </c>
      <c r="F21" s="75"/>
      <c r="G21" s="75"/>
      <c r="H21" s="75"/>
    </row>
    <row r="22" spans="1:8" ht="15.6">
      <c r="B22" s="2" t="s">
        <v>88</v>
      </c>
      <c r="D22" s="6">
        <v>0</v>
      </c>
      <c r="E22" s="74" t="s">
        <v>36</v>
      </c>
      <c r="F22" s="75"/>
      <c r="G22" s="75"/>
      <c r="H22" s="75"/>
    </row>
    <row r="23" spans="1:8" ht="15.6">
      <c r="B23" s="7" t="s">
        <v>89</v>
      </c>
      <c r="D23" s="6">
        <v>0.8</v>
      </c>
      <c r="E23" s="74" t="s">
        <v>36</v>
      </c>
      <c r="F23" s="75"/>
      <c r="G23" s="75"/>
      <c r="H23" s="75"/>
    </row>
    <row r="24" spans="1:8" ht="15.6">
      <c r="B24" s="7" t="s">
        <v>90</v>
      </c>
      <c r="D24" s="6">
        <v>0</v>
      </c>
      <c r="E24" s="74" t="s">
        <v>36</v>
      </c>
      <c r="F24" s="75"/>
      <c r="G24" s="75"/>
      <c r="H24" s="75"/>
    </row>
    <row r="25" spans="1:8">
      <c r="H25" s="8"/>
    </row>
    <row r="26" spans="1:8">
      <c r="A26" s="1" t="s">
        <v>37</v>
      </c>
      <c r="H26" s="8"/>
    </row>
    <row r="27" spans="1:8">
      <c r="A27" s="9" t="s">
        <v>38</v>
      </c>
      <c r="B27" s="9"/>
      <c r="C27" s="81" t="s">
        <v>39</v>
      </c>
      <c r="D27" s="9"/>
      <c r="E27" s="10" t="s">
        <v>40</v>
      </c>
      <c r="F27" s="9"/>
      <c r="G27" s="9"/>
      <c r="H27" s="8"/>
    </row>
    <row r="28" spans="1:8">
      <c r="A28" s="2" t="s">
        <v>41</v>
      </c>
      <c r="B28" s="10" t="s">
        <v>42</v>
      </c>
      <c r="C28" s="82"/>
      <c r="D28" s="9"/>
      <c r="E28" s="10" t="s">
        <v>43</v>
      </c>
      <c r="F28" s="9"/>
      <c r="G28" s="10" t="s">
        <v>44</v>
      </c>
      <c r="H28" s="8"/>
    </row>
    <row r="29" spans="1:8" ht="12" customHeight="1">
      <c r="B29" s="7" t="s">
        <v>186</v>
      </c>
      <c r="C29" s="11">
        <f>(D13*2)+(D14*3)</f>
        <v>2</v>
      </c>
      <c r="E29" s="69">
        <f>'Price List'!D2</f>
        <v>17</v>
      </c>
      <c r="F29" s="13" t="s">
        <v>45</v>
      </c>
      <c r="G29" s="14">
        <f t="shared" ref="G29:G41" si="0">E29*C29</f>
        <v>34</v>
      </c>
      <c r="H29" s="83" t="s">
        <v>191</v>
      </c>
    </row>
    <row r="30" spans="1:8" ht="12" customHeight="1">
      <c r="B30" s="7" t="s">
        <v>187</v>
      </c>
      <c r="C30" s="11">
        <f>($D$13*2*$D$12)+($D$14*4*$D$12)</f>
        <v>4</v>
      </c>
      <c r="E30" s="69">
        <f>'Price List'!D5</f>
        <v>8</v>
      </c>
      <c r="F30" s="13" t="s">
        <v>45</v>
      </c>
      <c r="G30" s="14">
        <f t="shared" si="0"/>
        <v>32</v>
      </c>
      <c r="H30" s="84"/>
    </row>
    <row r="31" spans="1:8" ht="12" customHeight="1">
      <c r="B31" s="7" t="s">
        <v>188</v>
      </c>
      <c r="C31" s="11">
        <f>(C30)+($D$11*$D$13*2)+($D$11*$D$14*4)</f>
        <v>4</v>
      </c>
      <c r="E31" s="69">
        <f>'Price List'!D4</f>
        <v>16</v>
      </c>
      <c r="F31" s="13" t="s">
        <v>45</v>
      </c>
      <c r="G31" s="14">
        <f t="shared" si="0"/>
        <v>64</v>
      </c>
      <c r="H31" s="84"/>
    </row>
    <row r="32" spans="1:8" ht="12" customHeight="1">
      <c r="B32" s="2" t="s">
        <v>46</v>
      </c>
      <c r="C32" s="11">
        <f>(D15+(D18*4))*0.5</f>
        <v>0</v>
      </c>
      <c r="E32" s="69">
        <f>'Price List'!D15</f>
        <v>0.4975</v>
      </c>
      <c r="F32" s="13" t="s">
        <v>47</v>
      </c>
      <c r="G32" s="14">
        <f t="shared" si="0"/>
        <v>0</v>
      </c>
      <c r="H32" s="84"/>
    </row>
    <row r="33" spans="2:8" ht="12" customHeight="1">
      <c r="B33" s="2" t="s">
        <v>48</v>
      </c>
      <c r="C33" s="11">
        <f>D15+(D18*3)</f>
        <v>0</v>
      </c>
      <c r="E33" s="12">
        <v>5</v>
      </c>
      <c r="F33" s="2" t="s">
        <v>45</v>
      </c>
      <c r="G33" s="14">
        <f t="shared" si="0"/>
        <v>0</v>
      </c>
      <c r="H33" s="84"/>
    </row>
    <row r="34" spans="2:8" ht="12" customHeight="1">
      <c r="B34" s="7" t="s">
        <v>49</v>
      </c>
      <c r="C34" s="11">
        <f>C33*D7</f>
        <v>0</v>
      </c>
      <c r="E34" s="12">
        <v>0.4</v>
      </c>
      <c r="F34" s="2" t="s">
        <v>45</v>
      </c>
      <c r="G34" s="14">
        <f t="shared" si="0"/>
        <v>0</v>
      </c>
      <c r="H34" s="84"/>
    </row>
    <row r="35" spans="2:8" ht="12" customHeight="1">
      <c r="B35" s="7" t="s">
        <v>50</v>
      </c>
      <c r="C35" s="11">
        <f>((D15*D16*D7)+(D18*D19*D7*3))</f>
        <v>0</v>
      </c>
      <c r="E35" s="12">
        <f>109.5/660</f>
        <v>0.16590909090909092</v>
      </c>
      <c r="F35" s="2" t="s">
        <v>45</v>
      </c>
      <c r="G35" s="14">
        <f t="shared" si="0"/>
        <v>0</v>
      </c>
      <c r="H35" s="84"/>
    </row>
    <row r="36" spans="2:8" ht="12" customHeight="1">
      <c r="B36" s="2" t="s">
        <v>51</v>
      </c>
      <c r="C36" s="11">
        <v>4</v>
      </c>
      <c r="E36" s="12">
        <v>6.75</v>
      </c>
      <c r="F36" s="2" t="s">
        <v>45</v>
      </c>
      <c r="G36" s="14">
        <f t="shared" si="0"/>
        <v>27</v>
      </c>
      <c r="H36" s="84"/>
    </row>
    <row r="37" spans="2:8" ht="12" customHeight="1">
      <c r="B37" s="2" t="s">
        <v>52</v>
      </c>
      <c r="C37" s="11">
        <f>($D$6*$D$7)+(C31*20)</f>
        <v>21200</v>
      </c>
      <c r="D37" s="15">
        <f>'Price List'!C16</f>
        <v>149.75</v>
      </c>
      <c r="E37" s="16">
        <f>D37/4000</f>
        <v>3.7437499999999999E-2</v>
      </c>
      <c r="F37" s="2" t="s">
        <v>47</v>
      </c>
      <c r="G37" s="14">
        <f t="shared" si="0"/>
        <v>793.67499999999995</v>
      </c>
      <c r="H37" s="84"/>
    </row>
    <row r="38" spans="2:8" ht="12" customHeight="1">
      <c r="B38" s="2" t="s">
        <v>53</v>
      </c>
      <c r="C38">
        <f>(D13*D8*2)+(D14*D8*2)</f>
        <v>8</v>
      </c>
      <c r="E38" s="69">
        <f>'Price List'!D17</f>
        <v>0.85</v>
      </c>
      <c r="F38" s="2" t="s">
        <v>45</v>
      </c>
      <c r="G38" s="14">
        <f t="shared" si="0"/>
        <v>6.8</v>
      </c>
      <c r="H38" s="84"/>
    </row>
    <row r="39" spans="2:8" ht="12" customHeight="1">
      <c r="B39" s="2" t="s">
        <v>54</v>
      </c>
      <c r="C39" s="17">
        <f>((((($D$13+$D$14)*$D$7)*12))+(C40*2)+(C33*2))*1.2</f>
        <v>163.19999999999999</v>
      </c>
      <c r="E39" s="69">
        <f>'Price List'!D18</f>
        <v>0.23749999999999999</v>
      </c>
      <c r="F39" s="2" t="s">
        <v>45</v>
      </c>
      <c r="G39" s="14">
        <f t="shared" si="0"/>
        <v>38.76</v>
      </c>
      <c r="H39" s="84"/>
    </row>
    <row r="40" spans="2:8" ht="12" customHeight="1">
      <c r="B40" s="2" t="s">
        <v>55</v>
      </c>
      <c r="C40" s="17">
        <f>((($D$13+$D$14)*$D$7)*(D6/1320))+C31</f>
        <v>20</v>
      </c>
      <c r="E40" s="69">
        <f>'Price List'!D19</f>
        <v>5.5</v>
      </c>
      <c r="F40" s="2" t="s">
        <v>45</v>
      </c>
      <c r="G40" s="14">
        <f t="shared" si="0"/>
        <v>110</v>
      </c>
      <c r="H40" s="84"/>
    </row>
    <row r="41" spans="2:8" ht="12" customHeight="1">
      <c r="B41" s="2" t="s">
        <v>56</v>
      </c>
      <c r="C41" s="11">
        <f>(D18*((D19+8)*2)*D20)+(D17*(D16+8))</f>
        <v>0</v>
      </c>
      <c r="E41" s="69">
        <f>'Price List'!D20</f>
        <v>0.28749999999999998</v>
      </c>
      <c r="F41" s="2" t="s">
        <v>47</v>
      </c>
      <c r="G41" s="14">
        <f t="shared" si="0"/>
        <v>0</v>
      </c>
      <c r="H41" s="84"/>
    </row>
    <row r="42" spans="2:8" ht="12" customHeight="1">
      <c r="B42" s="7" t="s">
        <v>57</v>
      </c>
      <c r="C42" s="11">
        <f>(C45*2)+(C36*4)</f>
        <v>256</v>
      </c>
      <c r="D42" s="18">
        <f>C42/50</f>
        <v>5.12</v>
      </c>
      <c r="E42" s="69">
        <f>'Price List'!C21</f>
        <v>3.5</v>
      </c>
      <c r="F42" s="2" t="s">
        <v>58</v>
      </c>
      <c r="G42" s="14">
        <f>E42*D42</f>
        <v>17.920000000000002</v>
      </c>
      <c r="H42" s="84"/>
    </row>
    <row r="43" spans="2:8" ht="12" customHeight="1">
      <c r="B43" s="2" t="s">
        <v>59</v>
      </c>
      <c r="C43" s="11">
        <f>((C29+C30)*$D$7)+(C31*2)+(C33*2)+10</f>
        <v>66</v>
      </c>
      <c r="D43" s="18">
        <f>C43/55</f>
        <v>1.2</v>
      </c>
      <c r="E43" s="69">
        <f>'Price List'!C13</f>
        <v>3.99</v>
      </c>
      <c r="F43" s="2" t="s">
        <v>58</v>
      </c>
      <c r="G43" s="14">
        <f>E43*D43</f>
        <v>4.7880000000000003</v>
      </c>
      <c r="H43" s="84"/>
    </row>
    <row r="44" spans="2:8" ht="12" customHeight="1">
      <c r="B44" s="7" t="s">
        <v>189</v>
      </c>
      <c r="C44" s="11">
        <f>(($D$6/$D$9)-$C$29)*D21</f>
        <v>26</v>
      </c>
      <c r="E44" s="69">
        <f>'Price List'!D5</f>
        <v>8</v>
      </c>
      <c r="F44" s="2" t="s">
        <v>45</v>
      </c>
      <c r="G44" s="14">
        <f t="shared" ref="G44:G49" si="1">E44*C44</f>
        <v>208</v>
      </c>
      <c r="H44" s="84"/>
    </row>
    <row r="45" spans="2:8" ht="12" customHeight="1">
      <c r="B45" s="7" t="s">
        <v>190</v>
      </c>
      <c r="C45" s="11">
        <f>(C30*$D$8)+($D$8*C44)</f>
        <v>120</v>
      </c>
      <c r="E45" s="69">
        <f>'Price List'!D22</f>
        <v>0.55000000000000004</v>
      </c>
      <c r="F45" s="2" t="s">
        <v>45</v>
      </c>
      <c r="G45" s="14">
        <f>E45*C45</f>
        <v>66</v>
      </c>
      <c r="H45" s="84"/>
    </row>
    <row r="46" spans="2:8" ht="12" customHeight="1">
      <c r="B46" s="7" t="str">
        <f>B22</f>
        <v>FIBERGLASS SUCKERROD 1.25" x 72"</v>
      </c>
      <c r="C46" s="11">
        <f>(($D$6/$D$9)-$C$29)*D22</f>
        <v>0</v>
      </c>
      <c r="E46" s="69">
        <f>'Price List'!D26</f>
        <v>11.25</v>
      </c>
      <c r="F46" s="2"/>
      <c r="G46" s="14">
        <f>E46*C46</f>
        <v>0</v>
      </c>
      <c r="H46" s="84"/>
    </row>
    <row r="47" spans="2:8" ht="12" customHeight="1">
      <c r="B47" s="7" t="str">
        <f>B23</f>
        <v>PASTURE PRO WPC  LINEPOST 1.125" X 72"</v>
      </c>
      <c r="C47" s="11">
        <f>(($D$6/$D$9)-$C$29)*D23</f>
        <v>104</v>
      </c>
      <c r="E47" s="69">
        <f>'Price List'!D27</f>
        <v>7.25</v>
      </c>
      <c r="F47" s="2" t="s">
        <v>45</v>
      </c>
      <c r="G47" s="19">
        <f t="shared" si="1"/>
        <v>754</v>
      </c>
      <c r="H47" s="84"/>
    </row>
    <row r="48" spans="2:8" ht="12" customHeight="1">
      <c r="B48" s="2" t="s">
        <v>74</v>
      </c>
      <c r="C48" s="11">
        <f>(C47*D7)</f>
        <v>832</v>
      </c>
      <c r="E48" s="16">
        <f>'Price List'!D31</f>
        <v>0.1075</v>
      </c>
      <c r="F48" s="2" t="s">
        <v>45</v>
      </c>
      <c r="G48" s="14">
        <f>E48*C48</f>
        <v>89.44</v>
      </c>
      <c r="H48" s="84"/>
    </row>
    <row r="49" spans="2:8" ht="12" customHeight="1">
      <c r="B49" s="7" t="str">
        <f>B24</f>
        <v>TIMELESS FENCE POLY-T POST 1.5" X 72"</v>
      </c>
      <c r="C49" s="11">
        <f>(($D$6/$D$9)-$C$29)*D24</f>
        <v>0</v>
      </c>
      <c r="E49" s="69">
        <f>'Price List'!D30</f>
        <v>10.5</v>
      </c>
      <c r="F49" s="2" t="s">
        <v>45</v>
      </c>
      <c r="G49" s="14">
        <f t="shared" si="1"/>
        <v>0</v>
      </c>
      <c r="H49" s="84"/>
    </row>
    <row r="50" spans="2:8" ht="12.75" customHeight="1">
      <c r="H50" s="85"/>
    </row>
    <row r="51" spans="2:8">
      <c r="C51" s="20" t="s">
        <v>60</v>
      </c>
      <c r="D51" s="9"/>
      <c r="E51" s="9"/>
      <c r="F51" s="9"/>
      <c r="G51" s="21">
        <f>SUM(G29:G49)</f>
        <v>2246.3830000000003</v>
      </c>
      <c r="H51" s="86" t="s">
        <v>75</v>
      </c>
    </row>
    <row r="52" spans="2:8">
      <c r="C52" s="20" t="s">
        <v>61</v>
      </c>
      <c r="D52" s="9"/>
      <c r="E52" s="9"/>
      <c r="F52" s="9"/>
      <c r="G52" s="22">
        <f>G51/$D$6</f>
        <v>0.85090265151515165</v>
      </c>
      <c r="H52" s="86"/>
    </row>
    <row r="53" spans="2:8">
      <c r="C53" s="20" t="s">
        <v>62</v>
      </c>
      <c r="D53" s="9"/>
      <c r="E53" s="9"/>
      <c r="F53" s="9"/>
      <c r="G53" s="23">
        <f>G52*1320</f>
        <v>1123.1915000000001</v>
      </c>
      <c r="H53" s="86"/>
    </row>
    <row r="54" spans="2:8">
      <c r="C54" s="20" t="s">
        <v>63</v>
      </c>
      <c r="D54" s="9"/>
      <c r="E54" s="9"/>
      <c r="F54" s="9"/>
      <c r="G54" s="23">
        <f>G51/$D$4</f>
        <v>14.039893750000001</v>
      </c>
      <c r="H54" s="86"/>
    </row>
    <row r="55" spans="2:8">
      <c r="H55" s="8"/>
    </row>
    <row r="56" spans="2:8" ht="15.6">
      <c r="B56" s="27" t="s">
        <v>68</v>
      </c>
      <c r="C56" s="29">
        <v>3</v>
      </c>
      <c r="D56" s="30" t="s">
        <v>70</v>
      </c>
    </row>
    <row r="57" spans="2:8" ht="14.4" customHeight="1">
      <c r="B57" t="s">
        <v>79</v>
      </c>
      <c r="C57" s="25">
        <v>1</v>
      </c>
      <c r="E57" s="24">
        <v>535</v>
      </c>
      <c r="F57" t="s">
        <v>45</v>
      </c>
      <c r="G57" s="14">
        <f t="shared" ref="G57:G64" si="2">E57*C57</f>
        <v>535</v>
      </c>
      <c r="H57" s="76" t="s">
        <v>80</v>
      </c>
    </row>
    <row r="58" spans="2:8">
      <c r="B58" t="s">
        <v>81</v>
      </c>
      <c r="C58" s="25">
        <v>0</v>
      </c>
      <c r="E58" s="24">
        <v>125</v>
      </c>
      <c r="F58" t="s">
        <v>45</v>
      </c>
      <c r="G58" s="14">
        <f t="shared" si="2"/>
        <v>0</v>
      </c>
      <c r="H58" s="76"/>
    </row>
    <row r="59" spans="2:8">
      <c r="B59" t="s">
        <v>64</v>
      </c>
      <c r="C59" s="25">
        <v>0</v>
      </c>
      <c r="E59" s="24">
        <v>25.75</v>
      </c>
      <c r="F59" t="s">
        <v>45</v>
      </c>
      <c r="G59" s="14">
        <f t="shared" si="2"/>
        <v>0</v>
      </c>
      <c r="H59" s="76"/>
    </row>
    <row r="60" spans="2:8">
      <c r="B60" t="s">
        <v>82</v>
      </c>
      <c r="C60" s="25">
        <v>1</v>
      </c>
      <c r="E60" s="24">
        <v>125</v>
      </c>
      <c r="G60" s="14">
        <f t="shared" si="2"/>
        <v>125</v>
      </c>
      <c r="H60" s="76"/>
    </row>
    <row r="61" spans="2:8">
      <c r="B61" t="s">
        <v>65</v>
      </c>
      <c r="C61" s="25">
        <v>3</v>
      </c>
      <c r="E61" s="24">
        <v>12.75</v>
      </c>
      <c r="F61" t="s">
        <v>45</v>
      </c>
      <c r="G61" s="14">
        <f t="shared" si="2"/>
        <v>38.25</v>
      </c>
      <c r="H61" s="76"/>
    </row>
    <row r="62" spans="2:8">
      <c r="B62" t="s">
        <v>66</v>
      </c>
      <c r="C62" s="25">
        <v>3</v>
      </c>
      <c r="E62" s="24">
        <v>1.95</v>
      </c>
      <c r="F62" t="s">
        <v>45</v>
      </c>
      <c r="G62" s="14">
        <f t="shared" si="2"/>
        <v>5.85</v>
      </c>
      <c r="H62" s="76"/>
    </row>
    <row r="63" spans="2:8">
      <c r="B63" t="s">
        <v>67</v>
      </c>
      <c r="C63" s="25">
        <v>1</v>
      </c>
      <c r="E63" s="24">
        <v>8.25</v>
      </c>
      <c r="F63" t="s">
        <v>45</v>
      </c>
      <c r="G63" s="14">
        <f t="shared" si="2"/>
        <v>8.25</v>
      </c>
      <c r="H63" s="76"/>
    </row>
    <row r="64" spans="2:8">
      <c r="B64" t="s">
        <v>56</v>
      </c>
      <c r="C64" s="25">
        <v>40</v>
      </c>
      <c r="E64" s="26">
        <v>0.22</v>
      </c>
      <c r="F64" t="s">
        <v>47</v>
      </c>
      <c r="G64" s="14">
        <f t="shared" si="2"/>
        <v>8.8000000000000007</v>
      </c>
      <c r="H64" s="76"/>
    </row>
    <row r="66" spans="4:7">
      <c r="D66" s="73" t="s">
        <v>69</v>
      </c>
      <c r="E66" s="73"/>
      <c r="F66" s="73"/>
      <c r="G66" s="28">
        <f>SUM(G57:G64)</f>
        <v>721.15</v>
      </c>
    </row>
    <row r="67" spans="4:7">
      <c r="D67" s="73" t="s">
        <v>71</v>
      </c>
      <c r="E67" s="73"/>
      <c r="F67" s="73"/>
      <c r="G67" s="28">
        <f>G66/15840</f>
        <v>4.5527146464646465E-2</v>
      </c>
    </row>
    <row r="68" spans="4:7">
      <c r="D68" s="73" t="s">
        <v>72</v>
      </c>
      <c r="E68" s="73"/>
      <c r="F68" s="73"/>
      <c r="G68" s="28">
        <f>G67*1320</f>
        <v>60.095833333333331</v>
      </c>
    </row>
    <row r="69" spans="4:7">
      <c r="D69" s="73" t="s">
        <v>73</v>
      </c>
      <c r="E69" s="73"/>
      <c r="F69" s="73"/>
      <c r="G69" s="28">
        <f>G66/D4</f>
        <v>4.5071874999999997</v>
      </c>
    </row>
  </sheetData>
  <mergeCells count="30">
    <mergeCell ref="D69:F69"/>
    <mergeCell ref="E21:H21"/>
    <mergeCell ref="E22:H22"/>
    <mergeCell ref="E23:H23"/>
    <mergeCell ref="E24:H24"/>
    <mergeCell ref="H51:H54"/>
    <mergeCell ref="H57:H64"/>
    <mergeCell ref="D66:F66"/>
    <mergeCell ref="D67:F67"/>
    <mergeCell ref="D68:F68"/>
    <mergeCell ref="C27:C28"/>
    <mergeCell ref="H29:H50"/>
    <mergeCell ref="E15:H15"/>
    <mergeCell ref="E16:H16"/>
    <mergeCell ref="E17:H17"/>
    <mergeCell ref="E18:H18"/>
    <mergeCell ref="E19:H19"/>
    <mergeCell ref="E20:H20"/>
    <mergeCell ref="E14:H14"/>
    <mergeCell ref="A1:H1"/>
    <mergeCell ref="E4:H4"/>
    <mergeCell ref="E5:H5"/>
    <mergeCell ref="E6:H6"/>
    <mergeCell ref="E7:H7"/>
    <mergeCell ref="E8:H8"/>
    <mergeCell ref="E9:H9"/>
    <mergeCell ref="E10:H10"/>
    <mergeCell ref="E11:H11"/>
    <mergeCell ref="E12:H12"/>
    <mergeCell ref="E13:H13"/>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5FA718-1B43-4B1B-BAA7-FFD8A1D619FB}">
  <dimension ref="A1:H35"/>
  <sheetViews>
    <sheetView topLeftCell="A10" workbookViewId="0">
      <selection activeCell="D19" sqref="D19:E26"/>
    </sheetView>
  </sheetViews>
  <sheetFormatPr defaultRowHeight="14.4"/>
  <cols>
    <col min="1" max="1" width="4.6640625" customWidth="1"/>
    <col min="2" max="2" width="40.44140625" customWidth="1"/>
    <col min="5" max="5" width="11" customWidth="1"/>
    <col min="7" max="7" width="13.33203125" customWidth="1"/>
    <col min="8" max="8" width="40.33203125" customWidth="1"/>
  </cols>
  <sheetData>
    <row r="1" spans="1:8" ht="34.799999999999997" customHeight="1">
      <c r="A1" s="78" t="s">
        <v>179</v>
      </c>
      <c r="B1" s="79"/>
      <c r="C1" s="79"/>
      <c r="D1" s="79"/>
      <c r="E1" s="79"/>
      <c r="F1" s="79"/>
      <c r="G1" s="79"/>
      <c r="H1" s="80"/>
    </row>
    <row r="3" spans="1:8">
      <c r="A3" s="1" t="s">
        <v>0</v>
      </c>
    </row>
    <row r="4" spans="1:8">
      <c r="B4" s="2" t="s">
        <v>1</v>
      </c>
      <c r="D4" s="32">
        <v>160</v>
      </c>
      <c r="E4" s="74" t="s">
        <v>2</v>
      </c>
      <c r="F4" s="75"/>
      <c r="G4" s="75"/>
      <c r="H4" s="75"/>
    </row>
    <row r="5" spans="1:8">
      <c r="B5" s="2" t="s">
        <v>3</v>
      </c>
      <c r="D5" s="33">
        <v>1</v>
      </c>
      <c r="E5" s="74" t="s">
        <v>4</v>
      </c>
      <c r="F5" s="75"/>
      <c r="G5" s="75"/>
      <c r="H5" s="75"/>
    </row>
    <row r="6" spans="1:8">
      <c r="B6" s="2" t="s">
        <v>5</v>
      </c>
      <c r="D6" s="34">
        <v>2640</v>
      </c>
      <c r="E6" s="74" t="s">
        <v>6</v>
      </c>
      <c r="F6" s="75"/>
      <c r="G6" s="75"/>
      <c r="H6" s="75"/>
    </row>
    <row r="7" spans="1:8">
      <c r="B7" s="2" t="s">
        <v>91</v>
      </c>
      <c r="D7" s="33">
        <v>3</v>
      </c>
      <c r="E7" s="74" t="s">
        <v>8</v>
      </c>
      <c r="F7" s="75"/>
      <c r="G7" s="75"/>
      <c r="H7" s="75"/>
    </row>
    <row r="8" spans="1:8">
      <c r="B8" s="2" t="s">
        <v>11</v>
      </c>
      <c r="D8" s="35">
        <v>12.5</v>
      </c>
      <c r="E8" s="74" t="s">
        <v>12</v>
      </c>
      <c r="F8" s="75"/>
      <c r="G8" s="75"/>
      <c r="H8" s="75"/>
    </row>
    <row r="9" spans="1:8">
      <c r="B9" s="2" t="s">
        <v>92</v>
      </c>
      <c r="D9" s="33">
        <v>2</v>
      </c>
      <c r="E9" s="74" t="s">
        <v>93</v>
      </c>
      <c r="F9" s="75"/>
      <c r="G9" s="75"/>
      <c r="H9" s="75"/>
    </row>
    <row r="10" spans="1:8">
      <c r="B10" s="2" t="s">
        <v>19</v>
      </c>
      <c r="D10" s="33">
        <v>2</v>
      </c>
      <c r="E10" s="74" t="s">
        <v>20</v>
      </c>
      <c r="F10" s="75"/>
      <c r="G10" s="75"/>
      <c r="H10" s="75"/>
    </row>
    <row r="11" spans="1:8">
      <c r="B11" s="2" t="s">
        <v>21</v>
      </c>
      <c r="D11" s="33">
        <v>0</v>
      </c>
      <c r="E11" s="74" t="s">
        <v>22</v>
      </c>
      <c r="F11" s="75"/>
      <c r="G11" s="75"/>
      <c r="H11" s="75"/>
    </row>
    <row r="12" spans="1:8">
      <c r="B12" s="2" t="s">
        <v>94</v>
      </c>
      <c r="D12" s="36">
        <v>1</v>
      </c>
      <c r="E12" s="74" t="s">
        <v>24</v>
      </c>
      <c r="F12" s="75"/>
      <c r="G12" s="75"/>
      <c r="H12" s="75"/>
    </row>
    <row r="13" spans="1:8">
      <c r="B13" s="2" t="s">
        <v>25</v>
      </c>
      <c r="D13" s="33">
        <v>24</v>
      </c>
      <c r="E13" s="74" t="s">
        <v>26</v>
      </c>
      <c r="F13" s="75"/>
      <c r="G13" s="75"/>
      <c r="H13" s="75"/>
    </row>
    <row r="14" spans="1:8">
      <c r="B14" s="7" t="s">
        <v>95</v>
      </c>
      <c r="D14" s="37">
        <v>0.1</v>
      </c>
      <c r="E14" s="74" t="s">
        <v>36</v>
      </c>
      <c r="F14" s="75"/>
      <c r="G14" s="75"/>
      <c r="H14" s="75"/>
    </row>
    <row r="15" spans="1:8">
      <c r="B15" s="2" t="s">
        <v>96</v>
      </c>
      <c r="D15" s="37">
        <v>0.9</v>
      </c>
      <c r="E15" s="74" t="s">
        <v>36</v>
      </c>
      <c r="F15" s="75"/>
      <c r="G15" s="75"/>
      <c r="H15" s="75"/>
    </row>
    <row r="16" spans="1:8">
      <c r="H16" s="8"/>
    </row>
    <row r="17" spans="1:8">
      <c r="A17" s="1" t="s">
        <v>37</v>
      </c>
      <c r="H17" s="8"/>
    </row>
    <row r="18" spans="1:8" ht="27">
      <c r="A18" s="9" t="s">
        <v>38</v>
      </c>
      <c r="B18" s="9"/>
      <c r="C18" s="31" t="s">
        <v>39</v>
      </c>
      <c r="D18" s="9"/>
      <c r="E18" s="10" t="s">
        <v>40</v>
      </c>
      <c r="F18" s="9"/>
      <c r="G18" s="9"/>
      <c r="H18" s="8"/>
    </row>
    <row r="19" spans="1:8">
      <c r="B19" s="2" t="s">
        <v>108</v>
      </c>
      <c r="C19" s="11">
        <f>(D10*2)+(D11*3)</f>
        <v>4</v>
      </c>
      <c r="E19" s="69">
        <f>'Price List'!C3</f>
        <v>25</v>
      </c>
      <c r="F19" s="13" t="s">
        <v>45</v>
      </c>
      <c r="G19" s="19">
        <f t="shared" ref="G19:G22" si="0">E19*C19</f>
        <v>100</v>
      </c>
      <c r="H19" s="88" t="s">
        <v>192</v>
      </c>
    </row>
    <row r="20" spans="1:8">
      <c r="B20" s="2" t="s">
        <v>109</v>
      </c>
      <c r="C20" s="11">
        <f>(D9*D10*2)+(D9*D11*4)</f>
        <v>8</v>
      </c>
      <c r="E20" s="69">
        <f>'Price List'!C3</f>
        <v>25</v>
      </c>
      <c r="F20" s="13" t="s">
        <v>45</v>
      </c>
      <c r="G20" s="19">
        <f t="shared" si="0"/>
        <v>200</v>
      </c>
      <c r="H20" s="89"/>
    </row>
    <row r="21" spans="1:8">
      <c r="B21" s="2" t="s">
        <v>97</v>
      </c>
      <c r="C21" s="11">
        <f>C20</f>
        <v>8</v>
      </c>
      <c r="E21" s="69">
        <f>'Price List'!D4</f>
        <v>16</v>
      </c>
      <c r="F21" s="13" t="s">
        <v>45</v>
      </c>
      <c r="G21" s="19">
        <f t="shared" si="0"/>
        <v>128</v>
      </c>
      <c r="H21" s="89"/>
    </row>
    <row r="22" spans="1:8">
      <c r="B22" s="7" t="s">
        <v>98</v>
      </c>
      <c r="C22" s="11">
        <f>C21*20</f>
        <v>160</v>
      </c>
      <c r="E22" s="69">
        <f>'Price List'!D12</f>
        <v>0.15783625730994152</v>
      </c>
      <c r="F22" s="38" t="s">
        <v>47</v>
      </c>
      <c r="G22" s="19">
        <f t="shared" si="0"/>
        <v>25.253801169590645</v>
      </c>
      <c r="H22" s="89"/>
    </row>
    <row r="23" spans="1:8">
      <c r="B23" s="2" t="s">
        <v>107</v>
      </c>
      <c r="C23" s="11">
        <f>(D6/D8)*D14</f>
        <v>21.12</v>
      </c>
      <c r="E23" s="69">
        <f>'Price List'!C6</f>
        <v>10</v>
      </c>
      <c r="F23" s="2" t="s">
        <v>45</v>
      </c>
      <c r="G23" s="19">
        <f>E23*C23</f>
        <v>211.20000000000002</v>
      </c>
      <c r="H23" s="89"/>
    </row>
    <row r="24" spans="1:8">
      <c r="B24" s="2" t="s">
        <v>100</v>
      </c>
      <c r="C24" s="11">
        <f>((C23+C19+C20)*D7)+50</f>
        <v>149.36000000000001</v>
      </c>
      <c r="D24" s="39">
        <f>C24/55</f>
        <v>2.7156363636363641</v>
      </c>
      <c r="E24" s="69">
        <f>'Price List'!C13</f>
        <v>3.99</v>
      </c>
      <c r="F24" s="2" t="s">
        <v>45</v>
      </c>
      <c r="G24" s="19">
        <f>D24*E24</f>
        <v>10.835389090909093</v>
      </c>
      <c r="H24" s="89"/>
    </row>
    <row r="25" spans="1:8">
      <c r="B25" s="2" t="s">
        <v>101</v>
      </c>
      <c r="C25" s="17">
        <f>(D6/D8)*D15</f>
        <v>190.07999999999998</v>
      </c>
      <c r="E25" s="69">
        <f>'Price List'!D7</f>
        <v>5.84</v>
      </c>
      <c r="F25" s="2" t="s">
        <v>45</v>
      </c>
      <c r="G25" s="19">
        <f>E25*C25</f>
        <v>1110.0672</v>
      </c>
      <c r="H25" s="89"/>
    </row>
    <row r="26" spans="1:8">
      <c r="B26" s="2" t="s">
        <v>102</v>
      </c>
      <c r="C26" s="11">
        <f>D6*D7</f>
        <v>7920</v>
      </c>
      <c r="D26" s="40">
        <f>C26/1320</f>
        <v>6</v>
      </c>
      <c r="E26" s="69">
        <f>'Price List'!C8</f>
        <v>129.3399</v>
      </c>
      <c r="F26" s="38" t="s">
        <v>103</v>
      </c>
      <c r="G26" s="19">
        <f>E26*D26</f>
        <v>776.0394</v>
      </c>
      <c r="H26" s="89"/>
    </row>
    <row r="27" spans="1:8">
      <c r="C27" s="20" t="s">
        <v>60</v>
      </c>
      <c r="D27" s="9"/>
      <c r="E27" s="9"/>
      <c r="F27" s="9"/>
      <c r="G27" s="23">
        <f>SUM(G19:G26)</f>
        <v>2561.3957902604998</v>
      </c>
      <c r="H27" s="89"/>
    </row>
    <row r="28" spans="1:8">
      <c r="C28" s="20" t="s">
        <v>61</v>
      </c>
      <c r="D28" s="9"/>
      <c r="E28" s="9"/>
      <c r="F28" s="9"/>
      <c r="G28" s="22">
        <f>G27/$D$6</f>
        <v>0.9702256781289772</v>
      </c>
      <c r="H28" s="89"/>
    </row>
    <row r="29" spans="1:8">
      <c r="C29" s="20" t="s">
        <v>62</v>
      </c>
      <c r="D29" s="9"/>
      <c r="E29" s="9"/>
      <c r="F29" s="9"/>
      <c r="G29" s="23">
        <f>G28*1320</f>
        <v>1280.6978951302499</v>
      </c>
      <c r="H29" s="89"/>
    </row>
    <row r="30" spans="1:8">
      <c r="C30" s="20" t="s">
        <v>63</v>
      </c>
      <c r="D30" s="9"/>
      <c r="E30" s="9"/>
      <c r="F30" s="9"/>
      <c r="G30" s="23">
        <f>G27/$D$4</f>
        <v>16.008723689128125</v>
      </c>
      <c r="H30" s="89"/>
    </row>
    <row r="31" spans="1:8">
      <c r="H31" s="8"/>
    </row>
    <row r="32" spans="1:8">
      <c r="C32" s="90" t="s">
        <v>104</v>
      </c>
      <c r="D32" s="90"/>
      <c r="E32" s="90"/>
      <c r="F32" s="90"/>
      <c r="G32" s="41">
        <v>5</v>
      </c>
      <c r="H32" s="8"/>
    </row>
    <row r="33" spans="2:8">
      <c r="C33" s="90" t="s">
        <v>105</v>
      </c>
      <c r="D33" s="90"/>
      <c r="E33" s="90"/>
      <c r="F33" s="90"/>
      <c r="G33" s="42">
        <v>0.08</v>
      </c>
      <c r="H33" s="8"/>
    </row>
    <row r="34" spans="2:8">
      <c r="C34" s="90" t="s">
        <v>106</v>
      </c>
      <c r="D34" s="90"/>
      <c r="E34" s="90"/>
      <c r="F34" s="90"/>
      <c r="G34" s="43">
        <f>PMT(G33,G32,-G30)</f>
        <v>4.0094881773191586</v>
      </c>
      <c r="H34" s="8"/>
    </row>
    <row r="35" spans="2:8">
      <c r="B35" s="11"/>
      <c r="C35" s="87"/>
      <c r="D35" s="77"/>
      <c r="E35" s="77"/>
      <c r="F35" s="14"/>
      <c r="G35" s="14"/>
      <c r="H35" s="8"/>
    </row>
  </sheetData>
  <mergeCells count="18">
    <mergeCell ref="E8:H8"/>
    <mergeCell ref="A1:H1"/>
    <mergeCell ref="E4:H4"/>
    <mergeCell ref="E5:H5"/>
    <mergeCell ref="E6:H6"/>
    <mergeCell ref="E7:H7"/>
    <mergeCell ref="C35:E35"/>
    <mergeCell ref="E9:H9"/>
    <mergeCell ref="E10:H10"/>
    <mergeCell ref="E11:H11"/>
    <mergeCell ref="E12:H12"/>
    <mergeCell ref="E13:H13"/>
    <mergeCell ref="E14:H14"/>
    <mergeCell ref="E15:H15"/>
    <mergeCell ref="H19:H30"/>
    <mergeCell ref="C32:F32"/>
    <mergeCell ref="C33:F33"/>
    <mergeCell ref="C34:F3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16</vt:i4>
      </vt:variant>
    </vt:vector>
  </HeadingPairs>
  <TitlesOfParts>
    <vt:vector size="16" baseType="lpstr">
      <vt:lpstr>Cost comparison</vt:lpstr>
      <vt:lpstr>Price List</vt:lpstr>
      <vt:lpstr>1-strand</vt:lpstr>
      <vt:lpstr>2-strand</vt:lpstr>
      <vt:lpstr>3-strand</vt:lpstr>
      <vt:lpstr>4-strand</vt:lpstr>
      <vt:lpstr>5-strand</vt:lpstr>
      <vt:lpstr>8 strand</vt:lpstr>
      <vt:lpstr>Barb RB 3-strand</vt:lpstr>
      <vt:lpstr>Barb RB 4-strand</vt:lpstr>
      <vt:lpstr>Barb RB 5-strand</vt:lpstr>
      <vt:lpstr>Barb GC 3-strand</vt:lpstr>
      <vt:lpstr>Barb GC 4-strand</vt:lpstr>
      <vt:lpstr>Barb GC 5-strand</vt:lpstr>
      <vt:lpstr>Woven Red Brand</vt:lpstr>
      <vt:lpstr>Woven HT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Owner</dc:creator>
  <cp:lastModifiedBy>Jim Gerrish</cp:lastModifiedBy>
  <dcterms:created xsi:type="dcterms:W3CDTF">2021-09-24T13:34:20Z</dcterms:created>
  <dcterms:modified xsi:type="dcterms:W3CDTF">2024-10-27T14:30:30Z</dcterms:modified>
</cp:coreProperties>
</file>