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Owner\Documents\AGLS Resource USB materials\Excel spreadsheets\"/>
    </mc:Choice>
  </mc:AlternateContent>
  <xr:revisionPtr revIDLastSave="0" documentId="13_ncr:1_{3C7A579A-5692-41A1-82C4-DD2244314E76}" xr6:coauthVersionLast="47" xr6:coauthVersionMax="47" xr10:uidLastSave="{00000000-0000-0000-0000-000000000000}"/>
  <bookViews>
    <workbookView xWindow="-108" yWindow="-108" windowWidth="23256" windowHeight="12456" activeTab="1" xr2:uid="{00000000-000D-0000-FFFF-FFFF00000000}"/>
  </bookViews>
  <sheets>
    <sheet name="Grazing Resources" sheetId="1" r:id="rId1"/>
    <sheet name="Gross margin calculators" sheetId="3" r:id="rId2"/>
    <sheet name="Ranch Overheads" sheetId="4" r:id="rId3"/>
    <sheet name="Stock policy"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3" l="1"/>
  <c r="E72" i="3"/>
  <c r="E62" i="3"/>
  <c r="E52" i="3"/>
  <c r="E42" i="3"/>
  <c r="E32" i="3"/>
  <c r="E22" i="3"/>
  <c r="E35" i="3"/>
  <c r="B15" i="3" l="1"/>
  <c r="B16" i="3" s="1"/>
  <c r="B18" i="3" s="1"/>
  <c r="E84" i="3"/>
  <c r="E85" i="3" s="1"/>
  <c r="E90" i="3"/>
  <c r="B85" i="3"/>
  <c r="B17" i="1"/>
  <c r="B94" i="3" l="1"/>
  <c r="H4" i="2"/>
  <c r="E94" i="3"/>
  <c r="B98" i="3"/>
  <c r="K22" i="1"/>
  <c r="M22" i="1" s="1"/>
  <c r="K21" i="1"/>
  <c r="M21" i="1" s="1"/>
  <c r="K24" i="1"/>
  <c r="K20" i="1"/>
  <c r="M20" i="1" s="1"/>
  <c r="E11" i="1"/>
  <c r="E10" i="1"/>
  <c r="E9" i="1"/>
  <c r="A28" i="2" l="1"/>
  <c r="B28" i="2"/>
  <c r="B16" i="4"/>
  <c r="B53" i="3"/>
  <c r="B22" i="3"/>
  <c r="K16" i="4" l="1"/>
  <c r="B14" i="3"/>
  <c r="E14" i="3" s="1"/>
  <c r="B88" i="3"/>
  <c r="B90" i="3" l="1"/>
  <c r="E97" i="3"/>
  <c r="L16" i="4"/>
  <c r="O14" i="4"/>
  <c r="O13" i="4"/>
  <c r="O12" i="4"/>
  <c r="O11" i="4"/>
  <c r="O10" i="4"/>
  <c r="O9" i="4"/>
  <c r="O8" i="4"/>
  <c r="O7" i="4"/>
  <c r="O6" i="4"/>
  <c r="O5" i="4"/>
  <c r="N16" i="4"/>
  <c r="M16" i="4"/>
  <c r="J16" i="4"/>
  <c r="I16" i="4"/>
  <c r="H16" i="4"/>
  <c r="G16" i="4"/>
  <c r="F16" i="4"/>
  <c r="E16" i="4"/>
  <c r="D16" i="4"/>
  <c r="C16" i="4"/>
  <c r="E91" i="3"/>
  <c r="B58" i="3"/>
  <c r="J44" i="2" l="1"/>
  <c r="J43" i="2"/>
  <c r="J42" i="2"/>
  <c r="J41" i="2"/>
  <c r="J40" i="2"/>
  <c r="J39" i="2"/>
  <c r="J38" i="2"/>
  <c r="J37" i="2"/>
  <c r="J36" i="2"/>
  <c r="J35" i="2" l="1"/>
  <c r="A44" i="2"/>
  <c r="A55" i="2" s="1"/>
  <c r="A27" i="2"/>
  <c r="A43" i="2" s="1"/>
  <c r="A54" i="2" s="1"/>
  <c r="A26" i="2"/>
  <c r="A42" i="2" s="1"/>
  <c r="A53" i="2" s="1"/>
  <c r="A25" i="2"/>
  <c r="A41" i="2" s="1"/>
  <c r="A52" i="2" s="1"/>
  <c r="A24" i="2"/>
  <c r="A40" i="2" s="1"/>
  <c r="A51" i="2" s="1"/>
  <c r="A23" i="2"/>
  <c r="A39" i="2" s="1"/>
  <c r="A50" i="2" s="1"/>
  <c r="A22" i="2"/>
  <c r="A38" i="2" s="1"/>
  <c r="A49" i="2" s="1"/>
  <c r="A21" i="2"/>
  <c r="A37" i="2" s="1"/>
  <c r="A48" i="2" s="1"/>
  <c r="A20" i="2"/>
  <c r="A36" i="2" s="1"/>
  <c r="A47" i="2" s="1"/>
  <c r="E14" i="1"/>
  <c r="B27" i="2" s="1"/>
  <c r="E13" i="1"/>
  <c r="B26" i="2" s="1"/>
  <c r="E12" i="1"/>
  <c r="B25" i="2" s="1"/>
  <c r="E8" i="1"/>
  <c r="B24" i="2" s="1"/>
  <c r="E7" i="1"/>
  <c r="B23" i="2" s="1"/>
  <c r="B41" i="2" l="1"/>
  <c r="D52" i="2" s="1"/>
  <c r="B42" i="2"/>
  <c r="I53" i="2" s="1"/>
  <c r="B39" i="2"/>
  <c r="I50" i="2" s="1"/>
  <c r="B43" i="2"/>
  <c r="I54" i="2" s="1"/>
  <c r="B40" i="2"/>
  <c r="I51" i="2" s="1"/>
  <c r="H50" i="2"/>
  <c r="D50" i="2" l="1"/>
  <c r="G51" i="2"/>
  <c r="E52" i="2"/>
  <c r="H52" i="2"/>
  <c r="E54" i="2"/>
  <c r="C51" i="2"/>
  <c r="G54" i="2"/>
  <c r="D53" i="2"/>
  <c r="C53" i="2"/>
  <c r="H53" i="2"/>
  <c r="G53" i="2"/>
  <c r="D51" i="2"/>
  <c r="E50" i="2"/>
  <c r="D54" i="2"/>
  <c r="E53" i="2"/>
  <c r="F50" i="2"/>
  <c r="G52" i="2"/>
  <c r="E51" i="2"/>
  <c r="G50" i="2"/>
  <c r="F54" i="2"/>
  <c r="H54" i="2"/>
  <c r="F53" i="2"/>
  <c r="F51" i="2"/>
  <c r="H51" i="2"/>
  <c r="C50" i="2"/>
  <c r="C54" i="2"/>
  <c r="F52" i="2"/>
  <c r="I52" i="2"/>
  <c r="C52" i="2"/>
  <c r="H7" i="2"/>
  <c r="H6" i="2"/>
  <c r="B50" i="2" l="1"/>
  <c r="B53" i="2"/>
  <c r="B54" i="2"/>
  <c r="B52" i="2"/>
  <c r="B51" i="2"/>
  <c r="B102" i="3"/>
  <c r="E99" i="3" s="1"/>
  <c r="E89" i="3"/>
  <c r="E101" i="3" l="1"/>
  <c r="E102" i="3" s="1"/>
  <c r="H13" i="2"/>
  <c r="H12" i="2" l="1"/>
  <c r="H14" i="2" s="1"/>
  <c r="H5" i="2"/>
  <c r="H8" i="2"/>
  <c r="H9" i="2" s="1"/>
  <c r="H10" i="2" s="1"/>
  <c r="I28" i="2" s="1"/>
  <c r="A19" i="2"/>
  <c r="I26" i="2" l="1"/>
  <c r="I24" i="2"/>
  <c r="I23" i="2"/>
  <c r="I27" i="2"/>
  <c r="I25" i="2"/>
  <c r="H15" i="2"/>
  <c r="K17" i="4" l="1"/>
  <c r="H17" i="4" l="1"/>
  <c r="D17" i="4"/>
  <c r="G17" i="4"/>
  <c r="C17" i="4"/>
  <c r="J17" i="4"/>
  <c r="F17" i="4"/>
  <c r="B19" i="4"/>
  <c r="I17" i="4"/>
  <c r="E17" i="4"/>
  <c r="L17" i="4"/>
  <c r="N17" i="4"/>
  <c r="M17" i="4"/>
  <c r="B44" i="2"/>
  <c r="A35" i="2"/>
  <c r="A46" i="2" s="1"/>
  <c r="F55" i="2" l="1"/>
  <c r="G55" i="2"/>
  <c r="C55" i="2"/>
  <c r="I55" i="2"/>
  <c r="D55" i="2"/>
  <c r="H55" i="2"/>
  <c r="E55" i="2"/>
  <c r="B55" i="2" l="1"/>
  <c r="E4" i="1"/>
  <c r="B20" i="2" s="1"/>
  <c r="B36" i="2" l="1"/>
  <c r="I20" i="2"/>
  <c r="I47" i="2" l="1"/>
  <c r="E47" i="2"/>
  <c r="G47" i="2"/>
  <c r="H47" i="2"/>
  <c r="C47" i="2"/>
  <c r="D47" i="2"/>
  <c r="F47" i="2"/>
  <c r="B47" i="2" l="1"/>
  <c r="B6" i="2"/>
  <c r="B23" i="1" l="1"/>
  <c r="B20" i="4"/>
  <c r="E6" i="1"/>
  <c r="B22" i="2" s="1"/>
  <c r="E5" i="1"/>
  <c r="B21" i="2" s="1"/>
  <c r="E3" i="1"/>
  <c r="B37" i="2" l="1"/>
  <c r="I21" i="2"/>
  <c r="B38" i="2"/>
  <c r="I22" i="2"/>
  <c r="B19" i="2"/>
  <c r="B29" i="2" s="1"/>
  <c r="E17" i="1"/>
  <c r="E13" i="3"/>
  <c r="F10" i="1" l="1"/>
  <c r="F9" i="1"/>
  <c r="F11" i="1"/>
  <c r="I49" i="2"/>
  <c r="G49" i="2"/>
  <c r="H49" i="2"/>
  <c r="C49" i="2"/>
  <c r="D49" i="2"/>
  <c r="E49" i="2"/>
  <c r="F49" i="2"/>
  <c r="F48" i="2"/>
  <c r="G48" i="2"/>
  <c r="I48" i="2"/>
  <c r="C48" i="2"/>
  <c r="D48" i="2"/>
  <c r="E48" i="2"/>
  <c r="H48" i="2"/>
  <c r="F12" i="1"/>
  <c r="F14" i="1"/>
  <c r="F8" i="1"/>
  <c r="F13" i="1"/>
  <c r="F7" i="1"/>
  <c r="B35" i="2"/>
  <c r="I46" i="2" s="1"/>
  <c r="I19" i="2"/>
  <c r="I30" i="2" s="1"/>
  <c r="I31" i="2" s="1"/>
  <c r="I32" i="2" s="1"/>
  <c r="F15" i="1"/>
  <c r="F6" i="1"/>
  <c r="F5" i="1"/>
  <c r="F4" i="1"/>
  <c r="B19" i="1"/>
  <c r="M23" i="1" s="1"/>
  <c r="L24" i="1" s="1"/>
  <c r="F3" i="1"/>
  <c r="E12" i="2"/>
  <c r="G7" i="2"/>
  <c r="F7" i="2"/>
  <c r="E7" i="2"/>
  <c r="D7" i="2"/>
  <c r="C7" i="2"/>
  <c r="G6" i="2"/>
  <c r="F6" i="2"/>
  <c r="E6" i="2"/>
  <c r="D6" i="2"/>
  <c r="C6" i="2"/>
  <c r="B4" i="2"/>
  <c r="B78" i="3"/>
  <c r="B77" i="3"/>
  <c r="E75" i="3"/>
  <c r="B74" i="3"/>
  <c r="B68" i="3"/>
  <c r="E66" i="3" s="1"/>
  <c r="F12" i="2" s="1"/>
  <c r="E65" i="3"/>
  <c r="B66" i="3"/>
  <c r="B65" i="3"/>
  <c r="E56" i="3"/>
  <c r="B46" i="3"/>
  <c r="E45" i="3"/>
  <c r="E25" i="3"/>
  <c r="E9" i="3"/>
  <c r="E10" i="3" s="1"/>
  <c r="B13" i="2"/>
  <c r="E6" i="3"/>
  <c r="E7" i="3" s="1"/>
  <c r="E77" i="3" l="1"/>
  <c r="G12" i="2" s="1"/>
  <c r="E73" i="3"/>
  <c r="F4" i="2"/>
  <c r="F5" i="2" s="1"/>
  <c r="E63" i="3"/>
  <c r="B21" i="1"/>
  <c r="B26" i="1" s="1"/>
  <c r="B27" i="1" s="1"/>
  <c r="B30" i="1" s="1"/>
  <c r="B32" i="1" s="1"/>
  <c r="B33" i="1" s="1"/>
  <c r="B21" i="4"/>
  <c r="G4" i="2"/>
  <c r="G5" i="2" s="1"/>
  <c r="I58" i="2"/>
  <c r="I59" i="2" s="1"/>
  <c r="I60" i="2" s="1"/>
  <c r="B49" i="2"/>
  <c r="B48" i="2"/>
  <c r="B8" i="2"/>
  <c r="B9" i="2" s="1"/>
  <c r="B10" i="2" s="1"/>
  <c r="C28" i="2" s="1"/>
  <c r="F17" i="1"/>
  <c r="E76" i="3"/>
  <c r="E79" i="3" s="1"/>
  <c r="E67" i="3"/>
  <c r="G13" i="2"/>
  <c r="F13" i="2"/>
  <c r="F14" i="2" s="1"/>
  <c r="E11" i="3"/>
  <c r="E16" i="3" s="1"/>
  <c r="E5" i="3"/>
  <c r="B9" i="3"/>
  <c r="B10" i="3" s="1"/>
  <c r="B11" i="3" s="1"/>
  <c r="B5" i="2"/>
  <c r="E68" i="3" l="1"/>
  <c r="F15" i="2"/>
  <c r="G14" i="2"/>
  <c r="G15" i="2" s="1"/>
  <c r="E17" i="3"/>
  <c r="E18" i="3" s="1"/>
  <c r="E80" i="3"/>
  <c r="F8" i="2"/>
  <c r="F9" i="2" s="1"/>
  <c r="F10" i="2" s="1"/>
  <c r="G28" i="2" s="1"/>
  <c r="E26" i="3"/>
  <c r="C13" i="2" s="1"/>
  <c r="G8" i="2"/>
  <c r="G9" i="2" s="1"/>
  <c r="G10" i="2" s="1"/>
  <c r="H28" i="2" s="1"/>
  <c r="B24" i="1"/>
  <c r="G22" i="2"/>
  <c r="C25" i="2"/>
  <c r="C23" i="2"/>
  <c r="C27" i="2"/>
  <c r="C24" i="2"/>
  <c r="C26" i="2"/>
  <c r="C20" i="2"/>
  <c r="C22" i="2"/>
  <c r="C21" i="2"/>
  <c r="B12" i="2"/>
  <c r="B14" i="2" s="1"/>
  <c r="B15" i="2" s="1"/>
  <c r="B25" i="3"/>
  <c r="B32" i="3" s="1"/>
  <c r="E36" i="3" s="1"/>
  <c r="G19" i="2"/>
  <c r="C19" i="2"/>
  <c r="G20" i="2" l="1"/>
  <c r="G23" i="2"/>
  <c r="G21" i="2"/>
  <c r="H21" i="2"/>
  <c r="H20" i="2"/>
  <c r="H24" i="2"/>
  <c r="G27" i="2"/>
  <c r="G24" i="2"/>
  <c r="G26" i="2"/>
  <c r="E23" i="3"/>
  <c r="G25" i="2"/>
  <c r="H27" i="2"/>
  <c r="H23" i="2"/>
  <c r="H19" i="2"/>
  <c r="H26" i="2"/>
  <c r="H25" i="2"/>
  <c r="H22" i="2"/>
  <c r="B52" i="3"/>
  <c r="C4" i="2"/>
  <c r="C8" i="2" s="1"/>
  <c r="C9" i="2" s="1"/>
  <c r="C10" i="2" s="1"/>
  <c r="D28" i="2" s="1"/>
  <c r="B28" i="3"/>
  <c r="C30" i="2"/>
  <c r="C31" i="2" s="1"/>
  <c r="C32" i="2" s="1"/>
  <c r="F46" i="2"/>
  <c r="F58" i="2" s="1"/>
  <c r="E46" i="2"/>
  <c r="E58" i="2" s="1"/>
  <c r="H46" i="2"/>
  <c r="H58" i="2" s="1"/>
  <c r="H59" i="2" s="1"/>
  <c r="D46" i="2"/>
  <c r="D58" i="2" s="1"/>
  <c r="G46" i="2"/>
  <c r="G58" i="2" s="1"/>
  <c r="G59" i="2" s="1"/>
  <c r="C46" i="2"/>
  <c r="C58" i="2" s="1"/>
  <c r="C59" i="2" s="1"/>
  <c r="G30" i="2" l="1"/>
  <c r="G31" i="2" s="1"/>
  <c r="G32" i="2" s="1"/>
  <c r="B35" i="3"/>
  <c r="E33" i="3" s="1"/>
  <c r="B57" i="3"/>
  <c r="E53" i="3" s="1"/>
  <c r="H30" i="2"/>
  <c r="H31" i="2" s="1"/>
  <c r="H32" i="2" s="1"/>
  <c r="D59" i="2"/>
  <c r="D27" i="2"/>
  <c r="D24" i="2"/>
  <c r="D23" i="2"/>
  <c r="D25" i="2"/>
  <c r="D26" i="2"/>
  <c r="D20" i="2"/>
  <c r="D21" i="2"/>
  <c r="D22" i="2"/>
  <c r="J58" i="2"/>
  <c r="I61" i="2" s="1"/>
  <c r="C5" i="2"/>
  <c r="B54" i="3"/>
  <c r="E58" i="3" s="1"/>
  <c r="D19" i="2"/>
  <c r="E13" i="2"/>
  <c r="E14" i="2" s="1"/>
  <c r="C12" i="2"/>
  <c r="C14" i="2" s="1"/>
  <c r="D13" i="2"/>
  <c r="E27" i="3"/>
  <c r="E28" i="3" s="1"/>
  <c r="B46" i="2"/>
  <c r="E4" i="2" l="1"/>
  <c r="E5" i="2" s="1"/>
  <c r="E15" i="2" s="1"/>
  <c r="B37" i="3"/>
  <c r="B42" i="3"/>
  <c r="B45" i="3" s="1"/>
  <c r="B49" i="3" s="1"/>
  <c r="E59" i="3"/>
  <c r="I22" i="4"/>
  <c r="I23" i="4" s="1"/>
  <c r="I63" i="2"/>
  <c r="I64" i="2" s="1"/>
  <c r="C15" i="2"/>
  <c r="D30" i="2"/>
  <c r="D31" i="2" s="1"/>
  <c r="D32" i="2" s="1"/>
  <c r="D60" i="2"/>
  <c r="C60" i="2"/>
  <c r="H60" i="2"/>
  <c r="G60" i="2"/>
  <c r="E8" i="2" l="1"/>
  <c r="E9" i="2" s="1"/>
  <c r="E10" i="2" s="1"/>
  <c r="F28" i="2" s="1"/>
  <c r="D4" i="2"/>
  <c r="D5" i="2" s="1"/>
  <c r="D12" i="2"/>
  <c r="D14" i="2" s="1"/>
  <c r="E38" i="3"/>
  <c r="E39" i="3" s="1"/>
  <c r="E46" i="3"/>
  <c r="E48" i="3" s="1"/>
  <c r="E43" i="3"/>
  <c r="D61" i="2"/>
  <c r="G61" i="2"/>
  <c r="H61" i="2"/>
  <c r="F61" i="2"/>
  <c r="E61" i="2"/>
  <c r="C61" i="2"/>
  <c r="F19" i="2" l="1"/>
  <c r="F27" i="2"/>
  <c r="F22" i="2"/>
  <c r="F23" i="2"/>
  <c r="F59" i="2"/>
  <c r="F60" i="2" s="1"/>
  <c r="F21" i="2"/>
  <c r="F20" i="2"/>
  <c r="F24" i="2"/>
  <c r="F26" i="2"/>
  <c r="F25" i="2"/>
  <c r="D8" i="2"/>
  <c r="D9" i="2" s="1"/>
  <c r="D10" i="2" s="1"/>
  <c r="E28" i="2" s="1"/>
  <c r="D15" i="2"/>
  <c r="E49" i="3"/>
  <c r="G22" i="4"/>
  <c r="G23" i="4" s="1"/>
  <c r="G63" i="2"/>
  <c r="G64" i="2" s="1"/>
  <c r="F22" i="4"/>
  <c r="F23" i="4" s="1"/>
  <c r="F63" i="2"/>
  <c r="C22" i="4"/>
  <c r="C23" i="4" s="1"/>
  <c r="C63" i="2"/>
  <c r="D22" i="4"/>
  <c r="D23" i="4" s="1"/>
  <c r="D63" i="2"/>
  <c r="D64" i="2" s="1"/>
  <c r="E22" i="4"/>
  <c r="E23" i="4" s="1"/>
  <c r="E63" i="2"/>
  <c r="H22" i="4"/>
  <c r="H23" i="4" s="1"/>
  <c r="H63" i="2"/>
  <c r="H64" i="2" s="1"/>
  <c r="J61" i="2"/>
  <c r="F64" i="2" l="1"/>
  <c r="F30" i="2"/>
  <c r="F31" i="2" s="1"/>
  <c r="F32" i="2" s="1"/>
  <c r="E27" i="2"/>
  <c r="E23" i="2"/>
  <c r="E20" i="2"/>
  <c r="E24" i="2"/>
  <c r="E26" i="2"/>
  <c r="E25" i="2"/>
  <c r="E19" i="2"/>
  <c r="E59" i="2"/>
  <c r="E60" i="2" s="1"/>
  <c r="E64" i="2" s="1"/>
  <c r="E21" i="2"/>
  <c r="E22" i="2"/>
  <c r="J63" i="2"/>
  <c r="J60" i="2"/>
  <c r="I62" i="2" s="1"/>
  <c r="C64" i="2"/>
  <c r="E30" i="2" l="1"/>
  <c r="E31" i="2" s="1"/>
  <c r="E32" i="2" s="1"/>
  <c r="J64" i="2"/>
  <c r="H62" i="2"/>
  <c r="C62" i="2"/>
  <c r="F62" i="2"/>
  <c r="D62" i="2"/>
  <c r="G62" i="2"/>
  <c r="E62" i="2"/>
  <c r="J62" i="2" l="1"/>
</calcChain>
</file>

<file path=xl/sharedStrings.xml><?xml version="1.0" encoding="utf-8"?>
<sst xmlns="http://schemas.openxmlformats.org/spreadsheetml/2006/main" count="472" uniqueCount="326">
  <si>
    <t>Grazing Resource</t>
  </si>
  <si>
    <t>Acres</t>
  </si>
  <si>
    <t>Expected AUD/A</t>
  </si>
  <si>
    <t>AU carrying capacity for time</t>
  </si>
  <si>
    <t>Average cow weight</t>
  </si>
  <si>
    <t>AU equivalency</t>
  </si>
  <si>
    <t>Number of head carried</t>
  </si>
  <si>
    <t>Expected days of use</t>
  </si>
  <si>
    <t>Available from deeded and leased private land</t>
  </si>
  <si>
    <t>Days of the year for grazing only</t>
  </si>
  <si>
    <r>
      <t xml:space="preserve">Average wt </t>
    </r>
    <r>
      <rPr>
        <sz val="11"/>
        <color theme="1"/>
        <rFont val="Calibri"/>
        <family val="2"/>
      </rPr>
      <t>÷</t>
    </r>
    <r>
      <rPr>
        <i/>
        <sz val="11"/>
        <color theme="1"/>
        <rFont val="Calibri"/>
        <family val="2"/>
      </rPr>
      <t xml:space="preserve"> 1000 lbs</t>
    </r>
  </si>
  <si>
    <t>Additional hay needed as AUD</t>
  </si>
  <si>
    <t>Additional hay needed as tons</t>
  </si>
  <si>
    <t># of AU carried X non-grazing feed days</t>
  </si>
  <si>
    <t>Based on standard AUD = 26 lbs of forage</t>
  </si>
  <si>
    <t>Wasted hay factor</t>
  </si>
  <si>
    <t>Adjusted hay total</t>
  </si>
  <si>
    <t>Tons of hay required from off-ranch source</t>
  </si>
  <si>
    <t>Cow-Calf enterprise</t>
  </si>
  <si>
    <t>lbs</t>
  </si>
  <si>
    <t>Daily cost to keep a cow</t>
  </si>
  <si>
    <t>calf:dam</t>
  </si>
  <si>
    <t>lbs/calf</t>
  </si>
  <si>
    <t>Annual cost to keep a cow</t>
  </si>
  <si>
    <t>Expected calf price / lb</t>
  </si>
  <si>
    <t>$/calf sold</t>
  </si>
  <si>
    <t>Daily intake target for cow</t>
  </si>
  <si>
    <t xml:space="preserve">% weaned for cows exposed </t>
  </si>
  <si>
    <t>Gross margin</t>
  </si>
  <si>
    <t>lbs of calf per cow exposed</t>
  </si>
  <si>
    <t>calf lbs/cow exposed</t>
  </si>
  <si>
    <t>Calf sale value per cow exposed</t>
  </si>
  <si>
    <t>$ calf income / cow</t>
  </si>
  <si>
    <t>Cow cull rate</t>
  </si>
  <si>
    <t>Cull cow price / lb</t>
  </si>
  <si>
    <t>Value of cull cow</t>
  </si>
  <si>
    <t>$/hd</t>
  </si>
  <si>
    <t>Annual cull value allotment</t>
  </si>
  <si>
    <t>$ / cow exposed</t>
  </si>
  <si>
    <t>Gross income per cow exposed</t>
  </si>
  <si>
    <t>calf + cull income</t>
  </si>
  <si>
    <t>Stocker beginning weight</t>
  </si>
  <si>
    <t>Daily cost to keep a stocker</t>
  </si>
  <si>
    <t>Expected ADG</t>
  </si>
  <si>
    <t>Cost to keep a stocker</t>
  </si>
  <si>
    <t>Ending stocker weight</t>
  </si>
  <si>
    <t>Expected value / lb at this weight</t>
  </si>
  <si>
    <t>Gross margin per head</t>
  </si>
  <si>
    <t>Value of stocker at end of growing</t>
  </si>
  <si>
    <t>Daily intake target for stocker</t>
  </si>
  <si>
    <t>Finishing beginning weight</t>
  </si>
  <si>
    <t>Daily cost to keep a finisher</t>
  </si>
  <si>
    <t>Cost to keep a finisher</t>
  </si>
  <si>
    <t>Target finish weight as 92% of dam</t>
  </si>
  <si>
    <t>Daily intake target for finisher</t>
  </si>
  <si>
    <t>Replacement heifer enterprise</t>
  </si>
  <si>
    <t>Replacement heifer starting weight</t>
  </si>
  <si>
    <t>Daily cost to keep a heifer</t>
  </si>
  <si>
    <t xml:space="preserve">Price of heifer at starting weight </t>
  </si>
  <si>
    <t>Value of yearling heifer</t>
  </si>
  <si>
    <t>Target ADG breeding to calving</t>
  </si>
  <si>
    <t>Daily intake target for heifer</t>
  </si>
  <si>
    <t>Value of the bred replacement heifer</t>
  </si>
  <si>
    <t>Custom grazing quick calculator</t>
  </si>
  <si>
    <t>In weight</t>
  </si>
  <si>
    <t>Day on pasture</t>
  </si>
  <si>
    <t>Target ADG</t>
  </si>
  <si>
    <t>Gain per head</t>
  </si>
  <si>
    <t>Out weight</t>
  </si>
  <si>
    <t>Pay rate / lb of gain</t>
  </si>
  <si>
    <t>Daily income</t>
  </si>
  <si>
    <t>Income for grazing season</t>
  </si>
  <si>
    <t>Burger-cow grazing quick calculator</t>
  </si>
  <si>
    <t>Daily cost to keep a burger cow</t>
  </si>
  <si>
    <t>Purchase price / lb</t>
  </si>
  <si>
    <t>Operating cost / cow</t>
  </si>
  <si>
    <t>Purchase cost/cow</t>
  </si>
  <si>
    <t>Purchase price + operating cost</t>
  </si>
  <si>
    <t>Sale price/ lb</t>
  </si>
  <si>
    <t>Sale value / cow</t>
  </si>
  <si>
    <t>Daily intake target for burger cow</t>
  </si>
  <si>
    <t>Burger-Cow</t>
  </si>
  <si>
    <t>Animal unit equivalency</t>
  </si>
  <si>
    <t>live wt/1000 lbs</t>
  </si>
  <si>
    <t xml:space="preserve"># of calendar days stock are on the ranch </t>
  </si>
  <si>
    <t>calendar days</t>
  </si>
  <si>
    <t>Target intake rate</t>
  </si>
  <si>
    <t>as % of weight</t>
  </si>
  <si>
    <t>Daily forage consumption</t>
  </si>
  <si>
    <t>Forage consumption for time on ranch</t>
  </si>
  <si>
    <t>Seasonal equivalent AUD consumption</t>
  </si>
  <si>
    <t>AUD/year</t>
  </si>
  <si>
    <t>Gross return per animal</t>
  </si>
  <si>
    <t>$ /animal /year</t>
  </si>
  <si>
    <t>Operating cost per animal</t>
  </si>
  <si>
    <t>Gross margin / animal</t>
  </si>
  <si>
    <t>Gross margin value / AUD</t>
  </si>
  <si>
    <t>$/AUD</t>
  </si>
  <si>
    <t>Type of pasture</t>
  </si>
  <si>
    <t>Available AUD</t>
  </si>
  <si>
    <t>Stocking as cow-calf only</t>
  </si>
  <si>
    <t>Stocking as growers only</t>
  </si>
  <si>
    <t>Stocking as heifers only</t>
  </si>
  <si>
    <t>Stocking as custom grazing</t>
  </si>
  <si>
    <t>Stocking  as burger-cows only</t>
  </si>
  <si>
    <t>Total  number of head of this class:</t>
  </si>
  <si>
    <t>Total gross margin potential:</t>
  </si>
  <si>
    <t>Gross margin per acre:</t>
  </si>
  <si>
    <t>In this section allocate a % of each pasture type to the different livestock classes you want to evaluate. Some pasture types are more suitable for some livestock classes compared to other. Productive, high quality pastures should be used for productive, high value livestock while pastures with lower energy potential can be used for livestock classes with lower demands.</t>
  </si>
  <si>
    <t>% allocated to cow-calf</t>
  </si>
  <si>
    <t>% allocated to growing stock</t>
  </si>
  <si>
    <t>% allocated to bred heifers</t>
  </si>
  <si>
    <t>% allocated to custom stock</t>
  </si>
  <si>
    <t>% allocated to burger-cow</t>
  </si>
  <si>
    <t>This final section summarizes the scenario you have created including # of head, how many AUDs are utilized by each class of livestock, the expected gross margin stream from each class, and then the % of forage used by each class , and the % revenue contribution from each class.</t>
  </si>
  <si>
    <t>Total number of AUDs to be utilized by each class of livestock:</t>
  </si>
  <si>
    <t>Number of head of each class of livestock with this allcoation:</t>
  </si>
  <si>
    <t>Expected Gross Margin revenue by livestock class:</t>
  </si>
  <si>
    <t>% of available AUDs used by each livestock class:</t>
  </si>
  <si>
    <t>% of gross margin income contribution by livestock class:</t>
  </si>
  <si>
    <t>Finishing / Bull enterprise</t>
  </si>
  <si>
    <t>Finishing /Bulls</t>
  </si>
  <si>
    <t>% used</t>
  </si>
  <si>
    <t>AUD use by class as allocated</t>
  </si>
  <si>
    <t>Stocking  as finishing only</t>
  </si>
  <si>
    <t>% allocated to finishing</t>
  </si>
  <si>
    <t># of days cow is on ranch</t>
  </si>
  <si>
    <t>Days on ranch</t>
  </si>
  <si>
    <t># of days heifer on ranch</t>
  </si>
  <si>
    <t>Annualized Cow replacement cost</t>
  </si>
  <si>
    <t>DOA at weaning</t>
  </si>
  <si>
    <t>205 day target</t>
  </si>
  <si>
    <t>Gain / day</t>
  </si>
  <si>
    <t>as % of liveweight</t>
  </si>
  <si>
    <t>Expected calf weaning weight</t>
  </si>
  <si>
    <t>$/hd/day</t>
  </si>
  <si>
    <t>days</t>
  </si>
  <si>
    <t>lbs/hd/day</t>
  </si>
  <si>
    <t>lbs/hd</t>
  </si>
  <si>
    <t>205 day Weaning weight %</t>
  </si>
  <si>
    <t>$/lb</t>
  </si>
  <si>
    <t>$ / lbs sold</t>
  </si>
  <si>
    <t>$/hd-day</t>
  </si>
  <si>
    <t>$/head</t>
  </si>
  <si>
    <t>Purchase cost of stocker</t>
  </si>
  <si>
    <t>Purchase cost of heavy stocker</t>
  </si>
  <si>
    <t>as % liveweight</t>
  </si>
  <si>
    <t>Mean animal live weight while on ranch</t>
  </si>
  <si>
    <t>lb/hd</t>
  </si>
  <si>
    <t>Use this resource ?</t>
  </si>
  <si>
    <t>AUD available all resources</t>
  </si>
  <si>
    <r>
      <t xml:space="preserve">Available AUD </t>
    </r>
    <r>
      <rPr>
        <i/>
        <sz val="11"/>
        <color theme="1"/>
        <rFont val="Calibri"/>
        <family val="2"/>
      </rPr>
      <t>÷ Expected days of use</t>
    </r>
  </si>
  <si>
    <t>% contribution</t>
  </si>
  <si>
    <t>Overhead categories</t>
  </si>
  <si>
    <t>Total annual charge</t>
  </si>
  <si>
    <t>% assigned to cow enterprise</t>
  </si>
  <si>
    <t>%assigned to stocker enterprise</t>
  </si>
  <si>
    <t>%assigned to finishing enterprise</t>
  </si>
  <si>
    <t>% assigned to ewe / lamb enterprise</t>
  </si>
  <si>
    <t>Total ranch payroll</t>
  </si>
  <si>
    <t>Employee benefits</t>
  </si>
  <si>
    <t>Payroll taxes</t>
  </si>
  <si>
    <t>Housing costs</t>
  </si>
  <si>
    <t>Property tax</t>
  </si>
  <si>
    <t>Ranch insurance</t>
  </si>
  <si>
    <t>Utilities</t>
  </si>
  <si>
    <t>Infrastructure depreciation</t>
  </si>
  <si>
    <t>Equipment depreciation</t>
  </si>
  <si>
    <t>Other overheads</t>
  </si>
  <si>
    <t>Total overheads excluding land</t>
  </si>
  <si>
    <t>Overheads/acre excluding land</t>
  </si>
  <si>
    <t>How much hay fed but not consumed</t>
  </si>
  <si>
    <t>Processing costs for direct market</t>
  </si>
  <si>
    <t>Cost to raise a heifer to calving</t>
  </si>
  <si>
    <t>Ewe-Lamb to finish enterprise</t>
  </si>
  <si>
    <t>Average ewe weight</t>
  </si>
  <si>
    <t>Daily cost to keep a ewe</t>
  </si>
  <si>
    <t>% weaned lamb crop</t>
  </si>
  <si>
    <t># of days ewe on farm</t>
  </si>
  <si>
    <t>Daily intake target for ewe</t>
  </si>
  <si>
    <t>value of cull ewe</t>
  </si>
  <si>
    <t>annual cull income per ewe</t>
  </si>
  <si>
    <t>annual income per ewe</t>
  </si>
  <si>
    <t>Annual cost to keep a ewe</t>
  </si>
  <si>
    <t>Price of a replacement ewe</t>
  </si>
  <si>
    <t>live lambs/ewe</t>
  </si>
  <si>
    <t>lbs/ewe</t>
  </si>
  <si>
    <t>$/lb live weight</t>
  </si>
  <si>
    <t>$/ewe</t>
  </si>
  <si>
    <t>% of live weight</t>
  </si>
  <si>
    <t>$/ewe/year</t>
  </si>
  <si>
    <t>$/lamb</t>
  </si>
  <si>
    <t>$/ewe unit</t>
  </si>
  <si>
    <t>Ewe-lamb thru finishing</t>
  </si>
  <si>
    <t>Overhead assignment by % AUDs used by this enterprise</t>
  </si>
  <si>
    <t>Net return to the enterprise and total ranch business</t>
  </si>
  <si>
    <t>% allocated to ewes &amp; lambs</t>
  </si>
  <si>
    <t>Total AUD harvested</t>
  </si>
  <si>
    <t>Total acres managed:</t>
  </si>
  <si>
    <t>Total AUDs Harvested:</t>
  </si>
  <si>
    <t>Weather added factor</t>
  </si>
  <si>
    <t>How much extra hay do you want on hand</t>
  </si>
  <si>
    <t>Price per ton for hay</t>
  </si>
  <si>
    <t>Cost per ton of hay as fed to your livestock</t>
  </si>
  <si>
    <t>Total hay purchase cost</t>
  </si>
  <si>
    <t>Tons purchased X cost per ton fed</t>
  </si>
  <si>
    <t>Hay cost per AUD fed</t>
  </si>
  <si>
    <t>Daily hay cost per AUD fed</t>
  </si>
  <si>
    <t>Projected wt at calving</t>
  </si>
  <si>
    <t>Target weight at calving (87% of dam)</t>
  </si>
  <si>
    <t>Overheads/AUD harvested</t>
  </si>
  <si>
    <t>AUD usage by enterprise</t>
  </si>
  <si>
    <t>Overheads assigned by enterprise</t>
  </si>
  <si>
    <t>% assigned to replacement heifers</t>
  </si>
  <si>
    <t>% assigned to custom grazing</t>
  </si>
  <si>
    <t>% assigned to burger cows</t>
  </si>
  <si>
    <t>% assigned to custom farming</t>
  </si>
  <si>
    <t>% assigned to logging enterprise</t>
  </si>
  <si>
    <t>Overheads for livestock enterprises</t>
  </si>
  <si>
    <t>Overheads assigned by AUD usage</t>
  </si>
  <si>
    <t>Total overheads assigned</t>
  </si>
  <si>
    <t>% assigned to feed &amp; seed sales</t>
  </si>
  <si>
    <t>% assigned to service truck</t>
  </si>
  <si>
    <t>Average weaning weight / lamb</t>
  </si>
  <si>
    <t>weaned lamb market price</t>
  </si>
  <si>
    <t>% of lamb crop sold at weaning</t>
  </si>
  <si>
    <t>% of lambs sold</t>
  </si>
  <si>
    <t>value of weaned lamb per ewe</t>
  </si>
  <si>
    <t>lbs of weaned lamb marketed per ewe</t>
  </si>
  <si>
    <t>Processing cost per finished lamb</t>
  </si>
  <si>
    <t>Processing cost per ewe unit</t>
  </si>
  <si>
    <t>This block calculates AUD carrying capacity for the specified resource use adjusted for days of year this resource needs to feed the stock. If you enter anything less than 365 days, the days not accounted for by this resource will be made up with purchased hay which is calculated below.</t>
  </si>
  <si>
    <t>This block calculates the hay needed to make up the difference between 365 days in the year and the specified feeding days from this resource. Consumption is calculated based on 26 lbs of dry matter forage being the daily requirement of a standard animal unit. You can set the allowed feeding wastage &amp; a buffer amount for bad weather. The price per ton of hay should include cost of hay, transportation, and feeding costs combined.</t>
  </si>
  <si>
    <t>culling for herd improvement</t>
  </si>
  <si>
    <t>open &amp; dries + culls</t>
  </si>
  <si>
    <t>Ending finished weight</t>
  </si>
  <si>
    <t>The default starting point for this set of cattle is the ending weight for the growing phase with a 5% increase for steers only. If finishing a mixed sex population, you can remove the added weight factor by deleting it in cell B28. If you are finishing heifers only, in cell B28 change the 1.05 factor to .95. If you are buying in outside cattle just enter the purchase weight in cell B28 and everything else will respond accordingly. The ending weight shown in cell B31 is the product of the number of days on pasture X the target ADG. The target finish weight shown in cell B34 is what the animal would need to weigh to be at the High Select-Low Choice transition. This is the minimal acceptable weight for an acceptable finished product.</t>
  </si>
  <si>
    <t>Enter the needed replacement heifer information in all the blue font cells. The default beginning weight is the ending weight of the growing yearling phase with a 5% reduction for heifers only. The target weight at calving is based on 87% of the dams mature weight. Mainstream recommends 90%. Low input ranching experts suggest 80-85%, so I opt for 87%. From breeding to calving ADG does not have to be excessive.</t>
  </si>
  <si>
    <t>Yep, more of the same. Fill in all the blue font cells. This one is pretty self explanatory.</t>
  </si>
  <si>
    <t>The burger cow enterprise is based on buying thin open cows &amp; fattening them on pasture. The cull cow is the only animal in the entire beef sector that gains in value per lb as it becomes heavier. As long as you can add the weight with low cost feed sources, this enterprise is almost always profitable. Because the cows do not stay very long on your property, burger cows are a good way to balance forage supply &amp; livestock demand.</t>
  </si>
  <si>
    <t>Enter the needed sheep flock information in all the blue font cells. You have the options of selling lambs at weaning or taking them to pasture-finished harvest weight. Enter the % of the lamb crop to be sold at weaning in cell B71. The remaining lamb crop will be sold as finished animals. The presumption is to purchase replacement ewes rather than raising ewe-lamb replacements.</t>
  </si>
  <si>
    <t>&amp;/per ewe unit</t>
  </si>
  <si>
    <t>$/per head cost</t>
  </si>
  <si>
    <t>This worksheet allows you to compute and assign overheads using two different methods. Begin by entering the total cost for each of these overhead items under 'Total annual charge'. Both calculators use this information</t>
  </si>
  <si>
    <t>% assigned to grain production</t>
  </si>
  <si>
    <t xml:space="preserve">Method 1) In the cells with blue % signs showing,you can assign a percentage of each overhead to all the different enterprises individually. There may be some overheads you would not have if you did not have a particular enterprise or there may be a specific enterprise that demands a high percentage of your labor or equipment. This process allows you to be very specific in overhead assignments to individual enterprises. Since this is a very specific process, make sure to check in Column O that the total for each overhead category adds up to 100%The overheads assigned to each enterprise are shown on line 16. </t>
  </si>
  <si>
    <t>Method 2) This process only applies to the livestock enterprises as it allocates overheads based on AUDs used by each enterprise. If we accept that the purpose of the ranch is to produce AUDs (livestock feed), then there is a base overhead charge for every AUD produced regardless of what class of animal consumes it. Thus, the overheads are assigned using the percentage of AUDs for each enterprise that was calculated on Row 135 of the 'Stock policy' calculator. You will need to use the first calculator to account for overheads used in the non-livestock enterprises. Those overheads are subtracted from the total overhead amount shown in B16 to give us the 'Overheads for livestock enterprises' shown in B19. Alternatively, just subtract what you think is appropriate amount of overheads used for non-livestock enterprises.</t>
  </si>
  <si>
    <t>Stock policy is the plan for what classes, how many, what weight, and when particular class of livestock will be on the ranch. This worksheet takes the information from the previous three worksheets to help you develop a stocking plan based on the available grazing resources and market opportunities.</t>
  </si>
  <si>
    <t>All of the information in this first block has been generated from the individual enterprise gross margin calculators. The important information reported in this block is shown in bold font and includes the AU equivalency for each class of livestock along with gross margin per head and per AUD. Gross margin/AUD is the first indicator of what are likely to be the most profitable enterprises on the ranch.</t>
  </si>
  <si>
    <r>
      <rPr>
        <b/>
        <sz val="10"/>
        <rFont val="Calibri"/>
        <family val="2"/>
        <scheme val="minor"/>
      </rPr>
      <t>Cow-calf</t>
    </r>
    <r>
      <rPr>
        <b/>
        <u/>
        <sz val="10"/>
        <rFont val="Calibri"/>
        <family val="2"/>
        <scheme val="minor"/>
      </rPr>
      <t xml:space="preserve"> Pair</t>
    </r>
  </si>
  <si>
    <r>
      <rPr>
        <b/>
        <sz val="10"/>
        <rFont val="Calibri"/>
        <family val="2"/>
        <scheme val="minor"/>
      </rPr>
      <t xml:space="preserve">Growing </t>
    </r>
    <r>
      <rPr>
        <b/>
        <u/>
        <sz val="10"/>
        <rFont val="Calibri"/>
        <family val="2"/>
        <scheme val="minor"/>
      </rPr>
      <t>Stocker</t>
    </r>
  </si>
  <si>
    <r>
      <t xml:space="preserve">Replacement </t>
    </r>
    <r>
      <rPr>
        <b/>
        <u/>
        <sz val="10"/>
        <rFont val="Calibri"/>
        <family val="2"/>
        <scheme val="minor"/>
      </rPr>
      <t>Heifers</t>
    </r>
  </si>
  <si>
    <r>
      <rPr>
        <b/>
        <sz val="10"/>
        <rFont val="Calibri"/>
        <family val="2"/>
        <scheme val="minor"/>
      </rPr>
      <t xml:space="preserve">Custom </t>
    </r>
    <r>
      <rPr>
        <b/>
        <u/>
        <sz val="10"/>
        <rFont val="Calibri"/>
        <family val="2"/>
        <scheme val="minor"/>
      </rPr>
      <t>Stockers</t>
    </r>
  </si>
  <si>
    <r>
      <rPr>
        <b/>
        <sz val="11"/>
        <rFont val="Calibri"/>
        <family val="2"/>
        <scheme val="minor"/>
      </rPr>
      <t>Cow-calf</t>
    </r>
    <r>
      <rPr>
        <b/>
        <u/>
        <sz val="11"/>
        <rFont val="Calibri"/>
        <family val="2"/>
        <scheme val="minor"/>
      </rPr>
      <t xml:space="preserve"> Pair</t>
    </r>
  </si>
  <si>
    <r>
      <rPr>
        <b/>
        <sz val="11"/>
        <rFont val="Calibri"/>
        <family val="2"/>
        <scheme val="minor"/>
      </rPr>
      <t xml:space="preserve">Growing </t>
    </r>
    <r>
      <rPr>
        <b/>
        <u/>
        <sz val="11"/>
        <rFont val="Calibri"/>
        <family val="2"/>
        <scheme val="minor"/>
      </rPr>
      <t>Stocker</t>
    </r>
  </si>
  <si>
    <r>
      <t xml:space="preserve">Replacement </t>
    </r>
    <r>
      <rPr>
        <b/>
        <u/>
        <sz val="11"/>
        <rFont val="Calibri"/>
        <family val="2"/>
        <scheme val="minor"/>
      </rPr>
      <t>Heifers</t>
    </r>
  </si>
  <si>
    <r>
      <rPr>
        <b/>
        <sz val="11"/>
        <rFont val="Calibri"/>
        <family val="2"/>
        <scheme val="minor"/>
      </rPr>
      <t xml:space="preserve">Custom </t>
    </r>
    <r>
      <rPr>
        <b/>
        <u/>
        <sz val="11"/>
        <rFont val="Calibri"/>
        <family val="2"/>
        <scheme val="minor"/>
      </rPr>
      <t>Stockers</t>
    </r>
  </si>
  <si>
    <t>In this section the number of acres and expected productivity as harvested AUD/acre for each pasture unit is carried forward from the 'Grazing Resources' worksheet. It calculates the expected number of head for each of the specified livestock classes and the potential gross margin value for the entire ranch and on a per acre basis as well. This identifies the enterprises with greatest income potential if the ranch were stocked with only this class of livestock. You may want to increase enterprises showing high gross margin per acre while decreasing or eliminating those with low gross margin per acre.</t>
  </si>
  <si>
    <t>All Enterprises</t>
  </si>
  <si>
    <t>Full pivot - Cover crop</t>
  </si>
  <si>
    <t>Full pivot - Perennial pasture</t>
  </si>
  <si>
    <t>PacMan pivot -Cover crop</t>
  </si>
  <si>
    <t>Flood - full</t>
  </si>
  <si>
    <t>Flood - marginal</t>
  </si>
  <si>
    <t>Range - open grass</t>
  </si>
  <si>
    <t>Range - sage dominant</t>
  </si>
  <si>
    <t>Range - woody cover</t>
  </si>
  <si>
    <t>PacMan pivot -Perennial pasture</t>
  </si>
  <si>
    <t>Upper meadow</t>
  </si>
  <si>
    <t>Lower meadow</t>
  </si>
  <si>
    <t>Kenny meadow</t>
  </si>
  <si>
    <t>Forest permit</t>
  </si>
  <si>
    <t>Number of head carried as this livestock class</t>
  </si>
  <si>
    <t>remaining AUD</t>
  </si>
  <si>
    <t>AUD used</t>
  </si>
  <si>
    <t>Herd ID</t>
  </si>
  <si>
    <t>Stockers</t>
  </si>
  <si>
    <t>Dry cows</t>
  </si>
  <si>
    <t># of head</t>
  </si>
  <si>
    <t>mean wt</t>
  </si>
  <si>
    <t>Herd AU</t>
  </si>
  <si>
    <t>Finishers</t>
  </si>
  <si>
    <t>Cow-calf</t>
  </si>
  <si>
    <t>In this block you can allocate part of the available  AUDs to one or more herds to determine what would be left for a second herd to use. There are three possible options as first grazers.</t>
  </si>
  <si>
    <t>Average live weight</t>
  </si>
  <si>
    <t>Average live weight including all cattle</t>
  </si>
  <si>
    <t xml:space="preserve">Use this worksheet to estimate the total carrying capacity of the ranch by using the harvested AUD/acre information from your grazing records or, in absence of actual grazing records, use estimates generated in the carrying capacity calculators (Soil Survey, precipitation, hay) for each of your grazing or hay resources. The acres listed should reflect the '% grazable acres', not total acres in the respective unit. The 'AUD/acre' comes from the carrying capacity calculator for that unit or should be based on your grazing records or best estimate of the potential for each field unit. In the 'Use this resource?' column, enter the percent use you intend for this field in this grazing season; enter a '0' if you do not plan to use it; or enter a decimal fraction for the portion of that unit you intend to use. </t>
  </si>
  <si>
    <t>% lamb crop marketed as rams</t>
  </si>
  <si>
    <t>Live lambs marketed per ewe</t>
  </si>
  <si>
    <t>% of lambs as rams</t>
  </si>
  <si>
    <t>Price per breeding ram</t>
  </si>
  <si>
    <t>Value of ram sales /ewe</t>
  </si>
  <si>
    <t>% lamb crop marketes as ewe-lambs</t>
  </si>
  <si>
    <t>$ share per ewe</t>
  </si>
  <si>
    <t>Price per replacement ewe</t>
  </si>
  <si>
    <t>Value ewe-lamb sale /ewe</t>
  </si>
  <si>
    <t>Cost/lamb from weaning to  sale</t>
  </si>
  <si>
    <t>Cost/ewe to take ram lambs to sale</t>
  </si>
  <si>
    <t>Annual Replacement cost / ewe</t>
  </si>
  <si>
    <t>Annual feed consumption per ewe</t>
  </si>
  <si>
    <t>lbs/ewe/yr</t>
  </si>
  <si>
    <t>Gross margin / AUD consumed</t>
  </si>
  <si>
    <t>All of the livestock production and financial information used in the Stock Policy &amp; Revenue Flow worksheet are generated from the series of mini-calculators on this page. To have an accurate scenario created, you will need to fill in all the blue font cells on this page for any of the enterprises you will have on the farm or ranch.  If the cell has black or red font then it is a calculated value that will feed directly into the Stock Policy worksheet. Do not change any of the black cells unless you absolutely know what you are doing!  Before making any changes, do a file 'save as' command and create a working copy of the worksheet &amp; keep this original as a master template.</t>
  </si>
  <si>
    <t>Annual feed consumption/cow</t>
  </si>
  <si>
    <t>lbs/cow/year</t>
  </si>
  <si>
    <t>Gross margin/AUD consumed</t>
  </si>
  <si>
    <t>$/AUD consumed</t>
  </si>
  <si>
    <t>Total feed consumed</t>
  </si>
  <si>
    <t>Total feed consumption/hd</t>
  </si>
  <si>
    <t>Total feed consumed/hd</t>
  </si>
  <si>
    <t>% of lambs as ewe-lambs</t>
  </si>
  <si>
    <t>annaul ewe cull rate</t>
  </si>
  <si>
    <t>% of ewes sold each year</t>
  </si>
  <si>
    <t>hd/ewe</t>
  </si>
  <si>
    <t>The beginning weight for a growing stocker in the 'growing yearling' calculator is the weaned weight of calves from the previous cow-calf calculator block. This beginning weight presumes a mixed population of steers or heifers. If you are retaining only steers or only heifers, you can manually adjust cell B20 to reflect the weight of the cattle you actually kept. If you are purchasing outside stockers, simply enter the purchase weight of those cattle in cell B21.</t>
  </si>
  <si>
    <t xml:space="preserve">Use this calculator for yearlings going out on spring grass. If you are in an environment where you can graze weaned calves all winter on dormant forage, use the 'winter fed' block for dormant season grazing. Use this one for grazing on green grass. </t>
  </si>
  <si>
    <t>Growing yearling enterprise - Winter fed</t>
  </si>
  <si>
    <t>Growing yearling enterprise - on grass</t>
  </si>
  <si>
    <t>Annual AUD consumed/cow</t>
  </si>
  <si>
    <t>AUD/cow/year</t>
  </si>
  <si>
    <t>AUD consumed/calf</t>
  </si>
  <si>
    <t>Value per weaned calf</t>
  </si>
  <si>
    <t>AUD consumer per pair annually</t>
  </si>
  <si>
    <t>Revenue per AUD consumed</t>
  </si>
  <si>
    <t>Enter all the needed information from your cow-calf operation in the blue font cells. Remember greater accuracy on the top line results in greater accuracy in the bottom line. First set up a baseline scenario and then you can do various iterations to create what-if scenarios. Default cost is based on current national average operating costs to carry a cow. The cull cow rate includes open &amp; dries (no weaned calf) + your % luxury culling for bad feet, bad eyes, bad udders, bad dispostion, etc.</t>
  </si>
  <si>
    <t>$/cow exposed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</si>
</sst>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_(&quot;$&quot;* #,##0_);_(&quot;$&quot;* \(#,##0\);_(&quot;$&quot;* &quot;-&quot;??_);_(@_)"/>
    <numFmt numFmtId="166" formatCode="0.0%"/>
    <numFmt numFmtId="167" formatCode="0.0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i/>
      <sz val="11"/>
      <color theme="1"/>
      <name val="Calibri"/>
      <family val="2"/>
      <scheme val="minor"/>
    </font>
    <font>
      <sz val="11"/>
      <color theme="1"/>
      <name val="Calibri"/>
      <family val="2"/>
    </font>
    <font>
      <i/>
      <sz val="11"/>
      <color theme="1"/>
      <name val="Calibri"/>
      <family val="2"/>
    </font>
    <font>
      <b/>
      <sz val="12"/>
      <color rgb="FFC00000"/>
      <name val="Calibri"/>
      <family val="2"/>
      <scheme val="minor"/>
    </font>
    <font>
      <b/>
      <sz val="12"/>
      <color rgb="FF00B050"/>
      <name val="Calibri"/>
      <family val="2"/>
      <scheme val="minor"/>
    </font>
    <font>
      <sz val="11"/>
      <name val="Calibri"/>
      <family val="2"/>
      <scheme val="minor"/>
    </font>
    <font>
      <b/>
      <sz val="10"/>
      <name val="Arial"/>
      <family val="2"/>
    </font>
    <font>
      <sz val="10"/>
      <name val="Arial"/>
      <family val="2"/>
    </font>
    <font>
      <b/>
      <sz val="11"/>
      <color rgb="FFC00000"/>
      <name val="Calibri"/>
      <family val="2"/>
      <scheme val="minor"/>
    </font>
    <font>
      <sz val="11"/>
      <color rgb="FFC00000"/>
      <name val="Calibri"/>
      <family val="2"/>
      <scheme val="minor"/>
    </font>
    <font>
      <b/>
      <sz val="11"/>
      <color rgb="FF00B050"/>
      <name val="Calibri"/>
      <family val="2"/>
      <scheme val="minor"/>
    </font>
    <font>
      <sz val="11"/>
      <color theme="4"/>
      <name val="Calibri"/>
      <family val="2"/>
      <scheme val="minor"/>
    </font>
    <font>
      <i/>
      <sz val="10"/>
      <color theme="1"/>
      <name val="Calibri"/>
      <family val="2"/>
      <scheme val="minor"/>
    </font>
    <font>
      <u/>
      <sz val="11"/>
      <color theme="10"/>
      <name val="Calibri"/>
      <family val="2"/>
      <scheme val="minor"/>
    </font>
    <font>
      <sz val="10"/>
      <color indexed="12"/>
      <name val="Arial"/>
      <family val="2"/>
    </font>
    <font>
      <b/>
      <sz val="10"/>
      <color theme="5"/>
      <name val="Arial"/>
      <family val="2"/>
    </font>
    <font>
      <b/>
      <sz val="11"/>
      <color indexed="17"/>
      <name val="Arial"/>
      <family val="2"/>
    </font>
    <font>
      <sz val="12"/>
      <color theme="1"/>
      <name val="Calibri"/>
      <family val="2"/>
      <scheme val="minor"/>
    </font>
    <font>
      <sz val="12"/>
      <name val="Calibri"/>
      <family val="2"/>
      <scheme val="minor"/>
    </font>
    <font>
      <b/>
      <sz val="12"/>
      <color theme="1"/>
      <name val="Calibri"/>
      <family val="2"/>
      <scheme val="minor"/>
    </font>
    <font>
      <sz val="12"/>
      <color rgb="FF0070C0"/>
      <name val="Calibri"/>
      <family val="2"/>
      <scheme val="minor"/>
    </font>
    <font>
      <b/>
      <sz val="12"/>
      <name val="Calibri"/>
      <family val="2"/>
      <scheme val="minor"/>
    </font>
    <font>
      <b/>
      <sz val="12"/>
      <color rgb="FF0070C0"/>
      <name val="Calibri"/>
      <family val="2"/>
      <scheme val="minor"/>
    </font>
    <font>
      <b/>
      <sz val="10"/>
      <color theme="1"/>
      <name val="Arial"/>
      <family val="2"/>
    </font>
    <font>
      <b/>
      <sz val="10"/>
      <color rgb="FF0070C0"/>
      <name val="Arial"/>
      <family val="2"/>
    </font>
    <font>
      <b/>
      <sz val="11"/>
      <color rgb="FF00B050"/>
      <name val="Arial"/>
      <family val="2"/>
    </font>
    <font>
      <b/>
      <u/>
      <sz val="10"/>
      <name val="Calibri"/>
      <family val="2"/>
      <scheme val="minor"/>
    </font>
    <font>
      <b/>
      <sz val="10"/>
      <name val="Calibri"/>
      <family val="2"/>
      <scheme val="minor"/>
    </font>
    <font>
      <sz val="10"/>
      <name val="Calibri"/>
      <family val="2"/>
      <scheme val="minor"/>
    </font>
    <font>
      <i/>
      <sz val="10"/>
      <name val="Calibri"/>
      <family val="2"/>
      <scheme val="minor"/>
    </font>
    <font>
      <b/>
      <sz val="10"/>
      <color rgb="FFC00000"/>
      <name val="Calibri"/>
      <family val="2"/>
      <scheme val="minor"/>
    </font>
    <font>
      <b/>
      <u/>
      <sz val="11"/>
      <name val="Calibri"/>
      <family val="2"/>
      <scheme val="minor"/>
    </font>
    <font>
      <b/>
      <sz val="11"/>
      <name val="Calibri"/>
      <family val="2"/>
      <scheme val="minor"/>
    </font>
    <font>
      <b/>
      <i/>
      <sz val="11"/>
      <color theme="1"/>
      <name val="Calibri"/>
      <family val="2"/>
      <scheme val="minor"/>
    </font>
    <font>
      <i/>
      <sz val="1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116">
    <xf numFmtId="0" fontId="0" fillId="0" borderId="0" xfId="0"/>
    <xf numFmtId="0" fontId="2" fillId="0" borderId="0" xfId="0" applyFont="1"/>
    <xf numFmtId="0" fontId="2" fillId="0" borderId="0" xfId="0" applyFont="1" applyAlignment="1">
      <alignment horizontal="center" wrapText="1"/>
    </xf>
    <xf numFmtId="2" fontId="0" fillId="0" borderId="0" xfId="0" applyNumberFormat="1"/>
    <xf numFmtId="1" fontId="0" fillId="0" borderId="0" xfId="0" applyNumberFormat="1"/>
    <xf numFmtId="0" fontId="3" fillId="0" borderId="0" xfId="0" applyFont="1"/>
    <xf numFmtId="9" fontId="3" fillId="0" borderId="0" xfId="2" applyFont="1"/>
    <xf numFmtId="0" fontId="0" fillId="0" borderId="0" xfId="0" applyAlignment="1">
      <alignment horizontal="right"/>
    </xf>
    <xf numFmtId="44" fontId="3" fillId="0" borderId="0" xfId="1" applyFont="1"/>
    <xf numFmtId="1" fontId="3" fillId="0" borderId="0" xfId="0" applyNumberFormat="1" applyFont="1"/>
    <xf numFmtId="165" fontId="0" fillId="0" borderId="0" xfId="0" applyNumberFormat="1"/>
    <xf numFmtId="166" fontId="3" fillId="0" borderId="0" xfId="2" applyNumberFormat="1" applyFont="1"/>
    <xf numFmtId="165" fontId="0" fillId="0" borderId="0" xfId="1" applyNumberFormat="1" applyFont="1"/>
    <xf numFmtId="0" fontId="2" fillId="0" borderId="0" xfId="0" applyFont="1" applyAlignment="1">
      <alignment horizontal="left"/>
    </xf>
    <xf numFmtId="165" fontId="9" fillId="0" borderId="0" xfId="0" applyNumberFormat="1" applyFont="1"/>
    <xf numFmtId="2" fontId="3" fillId="0" borderId="0" xfId="2" applyNumberFormat="1" applyFont="1"/>
    <xf numFmtId="165" fontId="3" fillId="0" borderId="0" xfId="1" applyNumberFormat="1" applyFont="1"/>
    <xf numFmtId="0" fontId="10" fillId="0" borderId="0" xfId="0" applyFont="1" applyAlignment="1">
      <alignment horizontal="left" wrapText="1"/>
    </xf>
    <xf numFmtId="0" fontId="11" fillId="0" borderId="0" xfId="0" applyFont="1" applyAlignment="1">
      <alignment horizontal="right" wrapText="1"/>
    </xf>
    <xf numFmtId="2" fontId="3" fillId="0" borderId="0" xfId="0" applyNumberFormat="1" applyFont="1"/>
    <xf numFmtId="44" fontId="0" fillId="0" borderId="0" xfId="1" applyFont="1"/>
    <xf numFmtId="44" fontId="0" fillId="0" borderId="0" xfId="0" applyNumberFormat="1"/>
    <xf numFmtId="165" fontId="1" fillId="0" borderId="0" xfId="1" applyNumberFormat="1"/>
    <xf numFmtId="0" fontId="10" fillId="0" borderId="0" xfId="0" applyFont="1" applyAlignment="1">
      <alignment horizontal="center" wrapText="1"/>
    </xf>
    <xf numFmtId="165" fontId="9" fillId="0" borderId="0" xfId="1" applyNumberFormat="1" applyFont="1"/>
    <xf numFmtId="0" fontId="13" fillId="0" borderId="0" xfId="0" applyFont="1"/>
    <xf numFmtId="1" fontId="2" fillId="0" borderId="0" xfId="0" applyNumberFormat="1" applyFont="1"/>
    <xf numFmtId="165" fontId="12" fillId="0" borderId="0" xfId="0" applyNumberFormat="1" applyFont="1"/>
    <xf numFmtId="44" fontId="3" fillId="0" borderId="0" xfId="0" applyNumberFormat="1" applyFont="1"/>
    <xf numFmtId="1" fontId="9" fillId="0" borderId="0" xfId="0" applyNumberFormat="1" applyFont="1"/>
    <xf numFmtId="0" fontId="4" fillId="0" borderId="0" xfId="0" applyFont="1"/>
    <xf numFmtId="0" fontId="12" fillId="0" borderId="0" xfId="0" applyFont="1" applyAlignment="1">
      <alignment horizontal="right"/>
    </xf>
    <xf numFmtId="1" fontId="15" fillId="0" borderId="0" xfId="0" applyNumberFormat="1" applyFont="1"/>
    <xf numFmtId="9" fontId="9" fillId="0" borderId="0" xfId="2" applyFont="1"/>
    <xf numFmtId="1" fontId="12" fillId="0" borderId="0" xfId="0" applyNumberFormat="1" applyFont="1"/>
    <xf numFmtId="0" fontId="16" fillId="0" borderId="0" xfId="0" applyFont="1"/>
    <xf numFmtId="0" fontId="2" fillId="0" borderId="0" xfId="0" applyFont="1" applyAlignment="1">
      <alignment horizontal="right"/>
    </xf>
    <xf numFmtId="10" fontId="9" fillId="0" borderId="0" xfId="2" applyNumberFormat="1" applyFont="1"/>
    <xf numFmtId="166" fontId="9" fillId="0" borderId="0" xfId="2" applyNumberFormat="1" applyFont="1"/>
    <xf numFmtId="165" fontId="18" fillId="0" borderId="1" xfId="1" applyNumberFormat="1" applyFont="1" applyBorder="1"/>
    <xf numFmtId="9" fontId="18" fillId="0" borderId="1" xfId="2" applyFont="1" applyBorder="1"/>
    <xf numFmtId="9" fontId="11" fillId="0" borderId="1" xfId="3" applyNumberFormat="1" applyFont="1" applyBorder="1"/>
    <xf numFmtId="165" fontId="18" fillId="0" borderId="2" xfId="1" applyNumberFormat="1" applyFont="1" applyBorder="1"/>
    <xf numFmtId="0" fontId="19" fillId="0" borderId="0" xfId="0" applyFont="1"/>
    <xf numFmtId="165" fontId="19" fillId="0" borderId="0" xfId="0" applyNumberFormat="1" applyFont="1"/>
    <xf numFmtId="8" fontId="0" fillId="0" borderId="0" xfId="0" applyNumberFormat="1"/>
    <xf numFmtId="1" fontId="21" fillId="0" borderId="0" xfId="0" applyNumberFormat="1" applyFont="1"/>
    <xf numFmtId="0" fontId="21" fillId="0" borderId="0" xfId="0" applyFont="1"/>
    <xf numFmtId="1" fontId="25" fillId="0" borderId="0" xfId="0" applyNumberFormat="1" applyFont="1"/>
    <xf numFmtId="0" fontId="23" fillId="0" borderId="0" xfId="0" applyFont="1"/>
    <xf numFmtId="1" fontId="23" fillId="0" borderId="0" xfId="0" applyNumberFormat="1" applyFont="1"/>
    <xf numFmtId="165" fontId="7" fillId="0" borderId="0" xfId="0" applyNumberFormat="1" applyFont="1"/>
    <xf numFmtId="44" fontId="7" fillId="0" borderId="0" xfId="1" applyFont="1"/>
    <xf numFmtId="1" fontId="26" fillId="0" borderId="0" xfId="0" applyNumberFormat="1" applyFont="1"/>
    <xf numFmtId="9" fontId="24" fillId="0" borderId="0" xfId="2" applyFont="1"/>
    <xf numFmtId="9" fontId="21" fillId="0" borderId="0" xfId="0" applyNumberFormat="1" applyFont="1"/>
    <xf numFmtId="0" fontId="25" fillId="0" borderId="0" xfId="0" applyFont="1"/>
    <xf numFmtId="1" fontId="7" fillId="0" borderId="0" xfId="0" applyNumberFormat="1" applyFont="1"/>
    <xf numFmtId="165" fontId="7" fillId="0" borderId="0" xfId="1" applyNumberFormat="1" applyFont="1"/>
    <xf numFmtId="9" fontId="23" fillId="0" borderId="0" xfId="2" applyFont="1"/>
    <xf numFmtId="9" fontId="7" fillId="0" borderId="0" xfId="2" applyFont="1"/>
    <xf numFmtId="9" fontId="8" fillId="0" borderId="0" xfId="2" applyFont="1"/>
    <xf numFmtId="166" fontId="0" fillId="0" borderId="0" xfId="2" applyNumberFormat="1" applyFont="1"/>
    <xf numFmtId="164" fontId="3" fillId="0" borderId="0" xfId="0" applyNumberFormat="1" applyFont="1"/>
    <xf numFmtId="165" fontId="2" fillId="0" borderId="0" xfId="0" applyNumberFormat="1" applyFont="1"/>
    <xf numFmtId="6" fontId="2" fillId="0" borderId="0" xfId="0" applyNumberFormat="1" applyFont="1"/>
    <xf numFmtId="9" fontId="2" fillId="0" borderId="0" xfId="0" applyNumberFormat="1" applyFont="1"/>
    <xf numFmtId="0" fontId="8" fillId="0" borderId="0" xfId="0" applyFont="1" applyAlignment="1">
      <alignment wrapText="1"/>
    </xf>
    <xf numFmtId="166" fontId="1" fillId="0" borderId="0" xfId="2" applyNumberFormat="1"/>
    <xf numFmtId="44" fontId="12" fillId="0" borderId="0" xfId="0" applyNumberFormat="1" applyFont="1"/>
    <xf numFmtId="44" fontId="19" fillId="0" borderId="0" xfId="0" applyNumberFormat="1" applyFont="1"/>
    <xf numFmtId="0" fontId="27" fillId="0" borderId="0" xfId="0" applyFont="1" applyAlignment="1">
      <alignment horizontal="right"/>
    </xf>
    <xf numFmtId="9" fontId="27" fillId="0" borderId="0" xfId="0" applyNumberFormat="1" applyFont="1"/>
    <xf numFmtId="165" fontId="2" fillId="0" borderId="0" xfId="1" applyNumberFormat="1" applyFont="1"/>
    <xf numFmtId="9" fontId="19" fillId="0" borderId="0" xfId="2" applyFont="1"/>
    <xf numFmtId="9" fontId="28" fillId="0" borderId="0" xfId="2" applyFont="1"/>
    <xf numFmtId="1" fontId="9" fillId="0" borderId="0" xfId="1" applyNumberFormat="1" applyFont="1"/>
    <xf numFmtId="164" fontId="0" fillId="0" borderId="0" xfId="0" applyNumberFormat="1"/>
    <xf numFmtId="44" fontId="12" fillId="0" borderId="0" xfId="1" applyFont="1"/>
    <xf numFmtId="1" fontId="22" fillId="0" borderId="0" xfId="0" applyNumberFormat="1" applyFont="1"/>
    <xf numFmtId="0" fontId="30" fillId="0" borderId="0" xfId="0" applyFont="1" applyAlignment="1">
      <alignment horizontal="center" wrapText="1"/>
    </xf>
    <xf numFmtId="0" fontId="31" fillId="0" borderId="0" xfId="0" applyFont="1" applyAlignment="1">
      <alignment horizontal="center" wrapText="1"/>
    </xf>
    <xf numFmtId="0" fontId="32" fillId="0" borderId="0" xfId="0" applyFont="1" applyAlignment="1">
      <alignment horizontal="right"/>
    </xf>
    <xf numFmtId="0" fontId="9" fillId="0" borderId="0" xfId="0" applyFont="1"/>
    <xf numFmtId="0" fontId="33" fillId="0" borderId="0" xfId="0" applyFont="1"/>
    <xf numFmtId="0" fontId="31" fillId="0" borderId="0" xfId="0" applyFont="1" applyAlignment="1">
      <alignment horizontal="right"/>
    </xf>
    <xf numFmtId="0" fontId="34" fillId="0" borderId="0" xfId="0" applyFont="1" applyAlignment="1">
      <alignment horizontal="right"/>
    </xf>
    <xf numFmtId="0" fontId="35" fillId="0" borderId="0" xfId="0" applyFont="1" applyAlignment="1">
      <alignment horizontal="center" wrapText="1"/>
    </xf>
    <xf numFmtId="0" fontId="36"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wrapText="1"/>
    </xf>
    <xf numFmtId="165" fontId="18" fillId="0" borderId="2" xfId="1" applyNumberFormat="1" applyFont="1" applyFill="1" applyBorder="1"/>
    <xf numFmtId="0" fontId="2" fillId="0" borderId="0" xfId="0" applyFont="1" applyAlignment="1">
      <alignment horizontal="center"/>
    </xf>
    <xf numFmtId="1" fontId="4" fillId="0" borderId="0" xfId="0" applyNumberFormat="1" applyFont="1"/>
    <xf numFmtId="167" fontId="0" fillId="0" borderId="0" xfId="0" applyNumberFormat="1"/>
    <xf numFmtId="44" fontId="2" fillId="0" borderId="0" xfId="0" applyNumberFormat="1" applyFont="1"/>
    <xf numFmtId="0" fontId="4" fillId="0" borderId="0" xfId="0" applyFont="1" applyAlignment="1">
      <alignment horizontal="right"/>
    </xf>
    <xf numFmtId="37" fontId="4" fillId="0" borderId="0" xfId="1" applyNumberFormat="1" applyFont="1"/>
    <xf numFmtId="0" fontId="37" fillId="0" borderId="0" xfId="0" applyFont="1"/>
    <xf numFmtId="0" fontId="38" fillId="0" borderId="0" xfId="0" applyFont="1"/>
    <xf numFmtId="0" fontId="4" fillId="0" borderId="0" xfId="0" applyFont="1"/>
    <xf numFmtId="0" fontId="14" fillId="0" borderId="0" xfId="0" applyFont="1" applyAlignment="1">
      <alignment wrapText="1"/>
    </xf>
    <xf numFmtId="0" fontId="14" fillId="0" borderId="0" xfId="0" applyFont="1" applyAlignment="1">
      <alignment vertical="top" wrapText="1"/>
    </xf>
    <xf numFmtId="0" fontId="2" fillId="0" borderId="0" xfId="0" applyFont="1" applyAlignment="1">
      <alignment horizontal="right"/>
    </xf>
    <xf numFmtId="0" fontId="8" fillId="0" borderId="0" xfId="0" applyFont="1" applyAlignment="1">
      <alignment horizontal="left" wrapText="1"/>
    </xf>
    <xf numFmtId="0" fontId="7" fillId="0" borderId="0" xfId="0" applyFont="1" applyAlignment="1">
      <alignment wrapText="1"/>
    </xf>
    <xf numFmtId="0" fontId="8" fillId="0" borderId="0" xfId="0" applyFont="1" applyAlignment="1">
      <alignment wrapText="1"/>
    </xf>
    <xf numFmtId="0" fontId="20" fillId="0" borderId="3" xfId="0" applyFont="1" applyBorder="1" applyAlignment="1">
      <alignment vertical="top" wrapText="1"/>
    </xf>
    <xf numFmtId="0" fontId="20" fillId="0" borderId="0" xfId="0" applyFont="1" applyAlignment="1">
      <alignment vertical="top" wrapText="1"/>
    </xf>
    <xf numFmtId="0" fontId="20" fillId="0" borderId="3" xfId="0" applyFont="1" applyBorder="1" applyAlignment="1">
      <alignment wrapText="1"/>
    </xf>
    <xf numFmtId="0" fontId="20" fillId="0" borderId="0" xfId="0" applyFont="1" applyAlignment="1">
      <alignment wrapText="1"/>
    </xf>
    <xf numFmtId="0" fontId="29" fillId="0" borderId="0" xfId="0" applyFont="1" applyAlignment="1">
      <alignment horizontal="left" vertical="top" wrapText="1"/>
    </xf>
    <xf numFmtId="0" fontId="8" fillId="0" borderId="0" xfId="0" applyFont="1" applyAlignment="1">
      <alignment vertical="top" wrapText="1"/>
    </xf>
    <xf numFmtId="0" fontId="12" fillId="0" borderId="0" xfId="0" applyFont="1" applyAlignment="1">
      <alignment horizontal="right"/>
    </xf>
    <xf numFmtId="0" fontId="8" fillId="0" borderId="0" xfId="0" applyFont="1"/>
    <xf numFmtId="0" fontId="25" fillId="0" borderId="0" xfId="0" applyFont="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zoomScale="120" zoomScaleNormal="120" workbookViewId="0">
      <selection sqref="A1:F1"/>
    </sheetView>
  </sheetViews>
  <sheetFormatPr defaultColWidth="9.109375" defaultRowHeight="14.4" x14ac:dyDescent="0.3"/>
  <cols>
    <col min="1" max="1" width="31.109375" customWidth="1"/>
    <col min="2" max="2" width="11.109375" customWidth="1"/>
    <col min="3" max="3" width="10.109375" customWidth="1"/>
    <col min="4" max="4" width="11.44140625" customWidth="1"/>
    <col min="5" max="5" width="10.88671875" customWidth="1"/>
    <col min="6" max="6" width="13.88671875" customWidth="1"/>
    <col min="7" max="7" width="3.21875" customWidth="1"/>
  </cols>
  <sheetData>
    <row r="1" spans="1:7" ht="116.4" customHeight="1" x14ac:dyDescent="0.3">
      <c r="A1" s="102" t="s">
        <v>286</v>
      </c>
      <c r="B1" s="102"/>
      <c r="C1" s="102"/>
      <c r="D1" s="102"/>
      <c r="E1" s="102"/>
      <c r="F1" s="102"/>
      <c r="G1" s="89"/>
    </row>
    <row r="2" spans="1:7" s="2" customFormat="1" ht="28.8" customHeight="1" x14ac:dyDescent="0.3">
      <c r="A2" s="2" t="s">
        <v>0</v>
      </c>
      <c r="B2" s="2" t="s">
        <v>1</v>
      </c>
      <c r="C2" s="2" t="s">
        <v>2</v>
      </c>
      <c r="D2" s="2" t="s">
        <v>149</v>
      </c>
      <c r="E2" s="2" t="s">
        <v>197</v>
      </c>
      <c r="F2" s="2" t="s">
        <v>152</v>
      </c>
    </row>
    <row r="3" spans="1:7" x14ac:dyDescent="0.3">
      <c r="A3" t="s">
        <v>259</v>
      </c>
      <c r="B3" s="9">
        <v>118</v>
      </c>
      <c r="C3" s="9">
        <v>180</v>
      </c>
      <c r="D3" s="6">
        <v>0</v>
      </c>
      <c r="E3" s="4">
        <f t="shared" ref="E3:E14" si="0">C3*B3*D3</f>
        <v>0</v>
      </c>
      <c r="F3" s="68">
        <f t="shared" ref="F3:F15" si="1">E3/$E$17</f>
        <v>0</v>
      </c>
      <c r="G3" s="68"/>
    </row>
    <row r="4" spans="1:7" x14ac:dyDescent="0.3">
      <c r="A4" t="s">
        <v>260</v>
      </c>
      <c r="B4" s="9">
        <v>118</v>
      </c>
      <c r="C4" s="5">
        <v>240</v>
      </c>
      <c r="D4" s="6">
        <v>1</v>
      </c>
      <c r="E4" s="4">
        <f t="shared" si="0"/>
        <v>28320</v>
      </c>
      <c r="F4" s="68">
        <f t="shared" si="1"/>
        <v>0.16731230389396939</v>
      </c>
      <c r="G4" s="68"/>
    </row>
    <row r="5" spans="1:7" x14ac:dyDescent="0.3">
      <c r="A5" t="s">
        <v>261</v>
      </c>
      <c r="B5" s="63">
        <v>86</v>
      </c>
      <c r="C5" s="9">
        <v>180</v>
      </c>
      <c r="D5" s="6">
        <v>0</v>
      </c>
      <c r="E5" s="4">
        <f t="shared" si="0"/>
        <v>0</v>
      </c>
      <c r="F5" s="68">
        <f t="shared" si="1"/>
        <v>0</v>
      </c>
      <c r="G5" s="68"/>
    </row>
    <row r="6" spans="1:7" x14ac:dyDescent="0.3">
      <c r="A6" t="s">
        <v>267</v>
      </c>
      <c r="B6" s="63">
        <v>86</v>
      </c>
      <c r="C6" s="9">
        <v>240</v>
      </c>
      <c r="D6" s="6">
        <v>1</v>
      </c>
      <c r="E6" s="4">
        <f t="shared" si="0"/>
        <v>20640</v>
      </c>
      <c r="F6" s="68">
        <f t="shared" si="1"/>
        <v>0.12193947571933361</v>
      </c>
      <c r="G6" s="68"/>
    </row>
    <row r="7" spans="1:7" x14ac:dyDescent="0.3">
      <c r="A7" t="s">
        <v>262</v>
      </c>
      <c r="B7" s="63">
        <v>300</v>
      </c>
      <c r="C7" s="9">
        <v>145</v>
      </c>
      <c r="D7" s="6">
        <v>1</v>
      </c>
      <c r="E7" s="4">
        <f t="shared" si="0"/>
        <v>43500</v>
      </c>
      <c r="F7" s="68">
        <f t="shared" si="1"/>
        <v>0.25699453458289789</v>
      </c>
      <c r="G7" s="68"/>
    </row>
    <row r="8" spans="1:7" x14ac:dyDescent="0.3">
      <c r="A8" t="s">
        <v>263</v>
      </c>
      <c r="B8" s="63">
        <v>75</v>
      </c>
      <c r="C8" s="9">
        <v>80</v>
      </c>
      <c r="D8" s="6">
        <v>0.8</v>
      </c>
      <c r="E8" s="4">
        <f t="shared" si="0"/>
        <v>4800</v>
      </c>
      <c r="F8" s="68">
        <f t="shared" si="1"/>
        <v>2.8358017609147353E-2</v>
      </c>
      <c r="G8" s="68"/>
    </row>
    <row r="9" spans="1:7" x14ac:dyDescent="0.3">
      <c r="A9" t="s">
        <v>268</v>
      </c>
      <c r="B9" s="63">
        <v>54</v>
      </c>
      <c r="C9" s="9">
        <v>100</v>
      </c>
      <c r="D9" s="6">
        <v>0.85</v>
      </c>
      <c r="E9" s="4">
        <f t="shared" ref="E9:E11" si="2">C9*B9*D9</f>
        <v>4590</v>
      </c>
      <c r="F9" s="68">
        <f t="shared" si="1"/>
        <v>2.7117354338747155E-2</v>
      </c>
      <c r="G9" s="68"/>
    </row>
    <row r="10" spans="1:7" x14ac:dyDescent="0.3">
      <c r="A10" t="s">
        <v>269</v>
      </c>
      <c r="B10" s="63">
        <v>56</v>
      </c>
      <c r="C10" s="9">
        <v>100</v>
      </c>
      <c r="D10" s="6">
        <v>0.85</v>
      </c>
      <c r="E10" s="4">
        <f t="shared" si="2"/>
        <v>4760</v>
      </c>
      <c r="F10" s="68">
        <f t="shared" si="1"/>
        <v>2.8121700795737791E-2</v>
      </c>
      <c r="G10" s="68"/>
    </row>
    <row r="11" spans="1:7" x14ac:dyDescent="0.3">
      <c r="A11" t="s">
        <v>270</v>
      </c>
      <c r="B11" s="63">
        <v>225</v>
      </c>
      <c r="C11" s="9">
        <v>100</v>
      </c>
      <c r="D11" s="6">
        <v>0.85</v>
      </c>
      <c r="E11" s="4">
        <f t="shared" si="2"/>
        <v>19125</v>
      </c>
      <c r="F11" s="68">
        <f t="shared" si="1"/>
        <v>0.11298897641144648</v>
      </c>
      <c r="G11" s="68"/>
    </row>
    <row r="12" spans="1:7" x14ac:dyDescent="0.3">
      <c r="A12" t="s">
        <v>264</v>
      </c>
      <c r="B12" s="63">
        <v>1545</v>
      </c>
      <c r="C12" s="9">
        <v>15</v>
      </c>
      <c r="D12" s="6">
        <v>0.7</v>
      </c>
      <c r="E12" s="4">
        <f t="shared" si="0"/>
        <v>16222.499999999998</v>
      </c>
      <c r="F12" s="68">
        <f t="shared" si="1"/>
        <v>9.5841237638415178E-2</v>
      </c>
      <c r="G12" s="68"/>
    </row>
    <row r="13" spans="1:7" x14ac:dyDescent="0.3">
      <c r="A13" t="s">
        <v>265</v>
      </c>
      <c r="B13" s="63">
        <v>550</v>
      </c>
      <c r="C13" s="9">
        <v>8</v>
      </c>
      <c r="D13" s="6">
        <v>0.7</v>
      </c>
      <c r="E13" s="4">
        <f t="shared" si="0"/>
        <v>3080</v>
      </c>
      <c r="F13" s="68">
        <f t="shared" si="1"/>
        <v>1.8196394632536219E-2</v>
      </c>
      <c r="G13" s="68"/>
    </row>
    <row r="14" spans="1:7" x14ac:dyDescent="0.3">
      <c r="A14" t="s">
        <v>266</v>
      </c>
      <c r="B14" s="63">
        <v>254</v>
      </c>
      <c r="C14" s="9">
        <v>6</v>
      </c>
      <c r="D14" s="6">
        <v>0.7</v>
      </c>
      <c r="E14" s="4">
        <f t="shared" si="0"/>
        <v>1066.8</v>
      </c>
      <c r="F14" s="68">
        <f t="shared" si="1"/>
        <v>6.3025694136329986E-3</v>
      </c>
      <c r="G14" s="68"/>
    </row>
    <row r="15" spans="1:7" x14ac:dyDescent="0.3">
      <c r="A15" t="s">
        <v>271</v>
      </c>
      <c r="B15" s="5"/>
      <c r="C15" s="5"/>
      <c r="D15" s="6"/>
      <c r="E15" s="9">
        <v>23160</v>
      </c>
      <c r="F15" s="68">
        <f t="shared" si="1"/>
        <v>0.13682743496413599</v>
      </c>
      <c r="G15" s="68"/>
    </row>
    <row r="16" spans="1:7" x14ac:dyDescent="0.3">
      <c r="B16" s="5"/>
      <c r="C16" s="9"/>
      <c r="D16" s="6"/>
      <c r="E16" s="4"/>
      <c r="F16" s="68"/>
      <c r="G16" s="68"/>
    </row>
    <row r="17" spans="1:13" s="1" customFormat="1" x14ac:dyDescent="0.3">
      <c r="A17" s="36" t="s">
        <v>198</v>
      </c>
      <c r="B17" s="26">
        <f>SUM(B3:B15)-(B3+B5)</f>
        <v>3263</v>
      </c>
      <c r="C17" s="103" t="s">
        <v>199</v>
      </c>
      <c r="D17" s="103"/>
      <c r="E17" s="26">
        <f>SUM(E3:E15)</f>
        <v>169264.3</v>
      </c>
      <c r="F17" s="66">
        <f>SUM(F3:F15)</f>
        <v>1.0000000000000002</v>
      </c>
      <c r="G17" s="66"/>
    </row>
    <row r="18" spans="1:13" ht="45.75" customHeight="1" x14ac:dyDescent="0.3">
      <c r="A18" s="101" t="s">
        <v>231</v>
      </c>
      <c r="B18" s="101"/>
      <c r="C18" s="101"/>
      <c r="D18" s="101"/>
      <c r="E18" s="101"/>
      <c r="F18" s="101"/>
      <c r="G18" s="90"/>
      <c r="H18" s="102" t="s">
        <v>283</v>
      </c>
      <c r="I18" s="102"/>
      <c r="J18" s="102"/>
      <c r="K18" s="102"/>
      <c r="L18" s="102"/>
      <c r="M18" s="102"/>
    </row>
    <row r="19" spans="1:13" x14ac:dyDescent="0.3">
      <c r="A19" s="36" t="s">
        <v>150</v>
      </c>
      <c r="B19" s="4">
        <f>E17</f>
        <v>169264.3</v>
      </c>
      <c r="C19" s="100" t="s">
        <v>8</v>
      </c>
      <c r="D19" s="100"/>
      <c r="E19" s="100"/>
      <c r="F19" s="100"/>
      <c r="G19" s="30"/>
      <c r="H19" s="92" t="s">
        <v>275</v>
      </c>
      <c r="I19" s="92" t="s">
        <v>278</v>
      </c>
      <c r="J19" s="92" t="s">
        <v>279</v>
      </c>
      <c r="K19" s="92" t="s">
        <v>280</v>
      </c>
      <c r="L19" s="92" t="s">
        <v>136</v>
      </c>
      <c r="M19" s="92" t="s">
        <v>274</v>
      </c>
    </row>
    <row r="20" spans="1:13" x14ac:dyDescent="0.3">
      <c r="A20" s="36" t="s">
        <v>7</v>
      </c>
      <c r="B20" s="5">
        <v>320</v>
      </c>
      <c r="C20" s="100" t="s">
        <v>9</v>
      </c>
      <c r="D20" s="100"/>
      <c r="E20" s="100"/>
      <c r="F20" s="100"/>
      <c r="G20" s="30"/>
      <c r="H20" t="s">
        <v>276</v>
      </c>
      <c r="I20" s="5">
        <v>500</v>
      </c>
      <c r="J20" s="5">
        <v>650</v>
      </c>
      <c r="K20" s="83">
        <f>(I20*J20)/1000</f>
        <v>325</v>
      </c>
      <c r="L20" s="5">
        <v>0</v>
      </c>
      <c r="M20">
        <f>K20*L20</f>
        <v>0</v>
      </c>
    </row>
    <row r="21" spans="1:13" x14ac:dyDescent="0.3">
      <c r="A21" s="36" t="s">
        <v>3</v>
      </c>
      <c r="B21" s="26">
        <f>B19/B20</f>
        <v>528.95093750000001</v>
      </c>
      <c r="C21" s="100" t="s">
        <v>151</v>
      </c>
      <c r="D21" s="100"/>
      <c r="E21" s="100"/>
      <c r="F21" s="100"/>
      <c r="G21" s="30"/>
      <c r="H21" t="s">
        <v>281</v>
      </c>
      <c r="I21" s="5">
        <v>500</v>
      </c>
      <c r="J21" s="5">
        <v>950</v>
      </c>
      <c r="K21" s="83">
        <f>(I21*J21)/1000</f>
        <v>475</v>
      </c>
      <c r="L21" s="5">
        <v>120</v>
      </c>
      <c r="M21">
        <f>K21*L21</f>
        <v>57000</v>
      </c>
    </row>
    <row r="22" spans="1:13" x14ac:dyDescent="0.3">
      <c r="A22" s="36" t="s">
        <v>284</v>
      </c>
      <c r="B22" s="9">
        <v>650</v>
      </c>
      <c r="C22" s="100" t="s">
        <v>285</v>
      </c>
      <c r="D22" s="100"/>
      <c r="E22" s="100"/>
      <c r="F22" s="100"/>
      <c r="G22" s="30"/>
      <c r="H22" t="s">
        <v>282</v>
      </c>
      <c r="I22" s="5">
        <v>300</v>
      </c>
      <c r="J22" s="5">
        <v>1400</v>
      </c>
      <c r="K22" s="83">
        <f>(I22*J22)/1000</f>
        <v>420</v>
      </c>
      <c r="L22" s="5">
        <v>0</v>
      </c>
      <c r="M22">
        <f>K22*L22</f>
        <v>0</v>
      </c>
    </row>
    <row r="23" spans="1:13" x14ac:dyDescent="0.3">
      <c r="A23" s="36" t="s">
        <v>5</v>
      </c>
      <c r="B23">
        <f>B22/1000</f>
        <v>0.65</v>
      </c>
      <c r="C23" s="100" t="s">
        <v>10</v>
      </c>
      <c r="D23" s="100"/>
      <c r="E23" s="100"/>
      <c r="F23" s="100"/>
      <c r="G23" s="30"/>
      <c r="K23" s="30" t="s">
        <v>273</v>
      </c>
      <c r="L23" s="30"/>
      <c r="M23" s="93">
        <f>B19-(M20+M21+M22)</f>
        <v>112264.29999999999</v>
      </c>
    </row>
    <row r="24" spans="1:13" x14ac:dyDescent="0.3">
      <c r="A24" s="36" t="s">
        <v>6</v>
      </c>
      <c r="B24" s="34">
        <f>B21/B23</f>
        <v>813.77067307692312</v>
      </c>
      <c r="C24" s="100" t="s">
        <v>272</v>
      </c>
      <c r="D24" s="100"/>
      <c r="E24" s="100"/>
      <c r="F24" s="100"/>
      <c r="G24" s="30"/>
      <c r="H24" t="s">
        <v>277</v>
      </c>
      <c r="I24" s="5">
        <v>500</v>
      </c>
      <c r="J24" s="5">
        <v>1100</v>
      </c>
      <c r="K24" s="83">
        <f>(I24*J24)/1000</f>
        <v>550</v>
      </c>
      <c r="L24" s="34">
        <f>M23/K24</f>
        <v>204.11690909090908</v>
      </c>
    </row>
    <row r="25" spans="1:13" ht="78" customHeight="1" x14ac:dyDescent="0.3">
      <c r="A25" s="101" t="s">
        <v>232</v>
      </c>
      <c r="B25" s="101"/>
      <c r="C25" s="101"/>
      <c r="D25" s="101"/>
      <c r="E25" s="101"/>
      <c r="F25" s="101"/>
      <c r="G25" s="90"/>
    </row>
    <row r="26" spans="1:13" x14ac:dyDescent="0.3">
      <c r="A26" s="36" t="s">
        <v>11</v>
      </c>
      <c r="B26" s="4">
        <f>(365-B20)*B21</f>
        <v>23802.792187499999</v>
      </c>
      <c r="C26" s="100" t="s">
        <v>13</v>
      </c>
      <c r="D26" s="100"/>
      <c r="E26" s="100"/>
      <c r="F26" s="100"/>
      <c r="G26" s="30"/>
    </row>
    <row r="27" spans="1:13" x14ac:dyDescent="0.3">
      <c r="A27" s="36" t="s">
        <v>12</v>
      </c>
      <c r="B27" s="4">
        <f>((B26*26)/2000)/0.88</f>
        <v>351.63215731534086</v>
      </c>
      <c r="C27" s="100" t="s">
        <v>14</v>
      </c>
      <c r="D27" s="100"/>
      <c r="E27" s="100"/>
      <c r="F27" s="100"/>
      <c r="G27" s="30"/>
    </row>
    <row r="28" spans="1:13" x14ac:dyDescent="0.3">
      <c r="A28" s="36" t="s">
        <v>15</v>
      </c>
      <c r="B28" s="6">
        <v>0.1</v>
      </c>
      <c r="C28" s="100" t="s">
        <v>171</v>
      </c>
      <c r="D28" s="100"/>
      <c r="E28" s="100"/>
      <c r="F28" s="100"/>
      <c r="G28" s="30"/>
    </row>
    <row r="29" spans="1:13" x14ac:dyDescent="0.3">
      <c r="A29" s="36" t="s">
        <v>200</v>
      </c>
      <c r="B29" s="6">
        <v>0.1</v>
      </c>
      <c r="C29" s="100" t="s">
        <v>201</v>
      </c>
      <c r="D29" s="100"/>
      <c r="E29" s="100"/>
      <c r="F29" s="100"/>
      <c r="G29" s="30"/>
    </row>
    <row r="30" spans="1:13" x14ac:dyDescent="0.3">
      <c r="A30" s="36" t="s">
        <v>16</v>
      </c>
      <c r="B30" s="4">
        <f>B27+(B27*(B28+B29))</f>
        <v>421.95858877840902</v>
      </c>
      <c r="C30" s="100" t="s">
        <v>17</v>
      </c>
      <c r="D30" s="100"/>
      <c r="E30" s="100"/>
      <c r="F30" s="100"/>
      <c r="G30" s="30"/>
    </row>
    <row r="31" spans="1:13" x14ac:dyDescent="0.3">
      <c r="A31" s="36" t="s">
        <v>202</v>
      </c>
      <c r="B31" s="16">
        <v>160</v>
      </c>
      <c r="C31" s="100" t="s">
        <v>203</v>
      </c>
      <c r="D31" s="100"/>
      <c r="E31" s="100"/>
      <c r="F31" s="100"/>
      <c r="G31" s="30"/>
    </row>
    <row r="32" spans="1:13" x14ac:dyDescent="0.3">
      <c r="A32" s="36" t="s">
        <v>204</v>
      </c>
      <c r="B32" s="27">
        <f>B31*B30</f>
        <v>67513.374204545442</v>
      </c>
      <c r="C32" s="100" t="s">
        <v>205</v>
      </c>
      <c r="D32" s="100"/>
      <c r="E32" s="100"/>
      <c r="F32" s="100"/>
      <c r="G32" s="30"/>
    </row>
    <row r="33" spans="1:7" x14ac:dyDescent="0.3">
      <c r="A33" s="36" t="s">
        <v>206</v>
      </c>
      <c r="B33" s="69">
        <f>B32/B26</f>
        <v>2.836363636363636</v>
      </c>
      <c r="C33" s="100" t="s">
        <v>207</v>
      </c>
      <c r="D33" s="100"/>
      <c r="E33" s="100"/>
      <c r="F33" s="100"/>
      <c r="G33" s="30"/>
    </row>
  </sheetData>
  <mergeCells count="19">
    <mergeCell ref="H18:M18"/>
    <mergeCell ref="C22:F22"/>
    <mergeCell ref="A1:F1"/>
    <mergeCell ref="C20:F20"/>
    <mergeCell ref="C19:F19"/>
    <mergeCell ref="C21:F21"/>
    <mergeCell ref="A18:F18"/>
    <mergeCell ref="C17:D17"/>
    <mergeCell ref="C31:F31"/>
    <mergeCell ref="C32:F32"/>
    <mergeCell ref="C33:F33"/>
    <mergeCell ref="C23:F23"/>
    <mergeCell ref="C24:F24"/>
    <mergeCell ref="C26:F26"/>
    <mergeCell ref="C28:F28"/>
    <mergeCell ref="C30:F30"/>
    <mergeCell ref="C27:F27"/>
    <mergeCell ref="A25:F25"/>
    <mergeCell ref="C29:F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2"/>
  <sheetViews>
    <sheetView tabSelected="1" zoomScale="120" zoomScaleNormal="120" workbookViewId="0">
      <selection activeCell="I13" sqref="I13"/>
    </sheetView>
  </sheetViews>
  <sheetFormatPr defaultColWidth="8.88671875" defaultRowHeight="14.4" x14ac:dyDescent="0.3"/>
  <cols>
    <col min="1" max="1" width="35.21875" customWidth="1"/>
    <col min="2" max="2" width="9" customWidth="1"/>
    <col min="3" max="3" width="21.6640625" customWidth="1"/>
    <col min="4" max="4" width="31.6640625" customWidth="1"/>
    <col min="5" max="5" width="10.5546875" bestFit="1" customWidth="1"/>
    <col min="6" max="6" width="16.109375" customWidth="1"/>
  </cols>
  <sheetData>
    <row r="1" spans="1:7" ht="97.2" customHeight="1" x14ac:dyDescent="0.3">
      <c r="A1" s="105" t="s">
        <v>302</v>
      </c>
      <c r="B1" s="105"/>
      <c r="C1" s="105"/>
      <c r="D1" s="105"/>
      <c r="E1" s="105"/>
      <c r="F1" s="105"/>
    </row>
    <row r="2" spans="1:7" ht="66.75" customHeight="1" x14ac:dyDescent="0.3">
      <c r="A2" s="106" t="s">
        <v>324</v>
      </c>
      <c r="B2" s="106"/>
      <c r="C2" s="106"/>
      <c r="D2" s="106"/>
      <c r="E2" s="106"/>
      <c r="F2" s="106"/>
    </row>
    <row r="3" spans="1:7" ht="15" customHeight="1" x14ac:dyDescent="0.3">
      <c r="A3" s="1" t="s">
        <v>18</v>
      </c>
    </row>
    <row r="4" spans="1:7" x14ac:dyDescent="0.3">
      <c r="A4" s="7" t="s">
        <v>4</v>
      </c>
      <c r="B4" s="9">
        <v>1150</v>
      </c>
      <c r="C4" s="35" t="s">
        <v>19</v>
      </c>
      <c r="D4" s="7" t="s">
        <v>24</v>
      </c>
      <c r="E4" s="8">
        <v>1.74</v>
      </c>
      <c r="F4" s="35" t="s">
        <v>140</v>
      </c>
    </row>
    <row r="5" spans="1:7" x14ac:dyDescent="0.3">
      <c r="A5" s="7" t="s">
        <v>26</v>
      </c>
      <c r="B5" s="11">
        <v>2.5999999999999999E-2</v>
      </c>
      <c r="C5" s="35" t="s">
        <v>133</v>
      </c>
      <c r="D5" s="7" t="s">
        <v>321</v>
      </c>
      <c r="E5" s="10">
        <f>B7*E4</f>
        <v>887.4</v>
      </c>
      <c r="F5" s="35" t="s">
        <v>25</v>
      </c>
    </row>
    <row r="6" spans="1:7" x14ac:dyDescent="0.3">
      <c r="A6" s="7" t="s">
        <v>126</v>
      </c>
      <c r="B6" s="9">
        <v>365</v>
      </c>
      <c r="C6" s="35" t="s">
        <v>85</v>
      </c>
      <c r="D6" s="7" t="s">
        <v>29</v>
      </c>
      <c r="E6" s="4">
        <f>B7*B12</f>
        <v>438.59999999999997</v>
      </c>
      <c r="F6" s="35" t="s">
        <v>30</v>
      </c>
    </row>
    <row r="7" spans="1:7" x14ac:dyDescent="0.3">
      <c r="A7" s="7" t="s">
        <v>134</v>
      </c>
      <c r="B7" s="32">
        <v>510</v>
      </c>
      <c r="C7" s="35" t="s">
        <v>22</v>
      </c>
      <c r="D7" s="7" t="s">
        <v>31</v>
      </c>
      <c r="E7" s="12">
        <f>E4*E6</f>
        <v>763.16399999999999</v>
      </c>
      <c r="F7" s="35" t="s">
        <v>32</v>
      </c>
    </row>
    <row r="8" spans="1:7" x14ac:dyDescent="0.3">
      <c r="A8" s="7" t="s">
        <v>130</v>
      </c>
      <c r="B8" s="5">
        <v>210</v>
      </c>
      <c r="C8" s="35" t="s">
        <v>136</v>
      </c>
      <c r="D8" s="7" t="s">
        <v>34</v>
      </c>
      <c r="E8" s="8">
        <v>0.64</v>
      </c>
      <c r="F8" s="35" t="s">
        <v>141</v>
      </c>
    </row>
    <row r="9" spans="1:7" x14ac:dyDescent="0.3">
      <c r="A9" s="7" t="s">
        <v>132</v>
      </c>
      <c r="B9" s="3">
        <f>(B7-78)/B8</f>
        <v>2.0571428571428569</v>
      </c>
      <c r="C9" s="35" t="s">
        <v>137</v>
      </c>
      <c r="D9" s="7" t="s">
        <v>35</v>
      </c>
      <c r="E9" s="12">
        <f>E8*B4</f>
        <v>736</v>
      </c>
      <c r="F9" s="35" t="s">
        <v>36</v>
      </c>
    </row>
    <row r="10" spans="1:7" x14ac:dyDescent="0.3">
      <c r="A10" s="7" t="s">
        <v>131</v>
      </c>
      <c r="B10" s="4">
        <f>75+(205*B9)</f>
        <v>496.71428571428567</v>
      </c>
      <c r="C10" s="35" t="s">
        <v>138</v>
      </c>
      <c r="D10" s="7" t="s">
        <v>37</v>
      </c>
      <c r="E10" s="12">
        <f>E9*B14</f>
        <v>125.12</v>
      </c>
      <c r="F10" s="35" t="s">
        <v>38</v>
      </c>
    </row>
    <row r="11" spans="1:7" x14ac:dyDescent="0.3">
      <c r="A11" s="7" t="s">
        <v>139</v>
      </c>
      <c r="B11" s="33">
        <f>B10/B4</f>
        <v>0.43192546583850927</v>
      </c>
      <c r="C11" s="35" t="s">
        <v>21</v>
      </c>
      <c r="D11" s="7" t="s">
        <v>39</v>
      </c>
      <c r="E11" s="10">
        <f>E10+E7</f>
        <v>888.28399999999999</v>
      </c>
      <c r="F11" s="35" t="s">
        <v>40</v>
      </c>
    </row>
    <row r="12" spans="1:7" x14ac:dyDescent="0.3">
      <c r="A12" s="7" t="s">
        <v>27</v>
      </c>
      <c r="B12" s="6">
        <v>0.86</v>
      </c>
      <c r="C12" s="35"/>
      <c r="D12" s="7" t="s">
        <v>20</v>
      </c>
      <c r="E12" s="8">
        <v>1.1499999999999999</v>
      </c>
      <c r="F12" s="35" t="s">
        <v>135</v>
      </c>
    </row>
    <row r="13" spans="1:7" x14ac:dyDescent="0.3">
      <c r="A13" s="7" t="s">
        <v>233</v>
      </c>
      <c r="B13" s="6">
        <v>0.03</v>
      </c>
      <c r="D13" s="7" t="s">
        <v>23</v>
      </c>
      <c r="E13" s="10">
        <f>E12*B6</f>
        <v>419.74999999999994</v>
      </c>
      <c r="F13" s="35" t="s">
        <v>38</v>
      </c>
      <c r="G13" s="4"/>
    </row>
    <row r="14" spans="1:7" x14ac:dyDescent="0.3">
      <c r="A14" s="7" t="s">
        <v>33</v>
      </c>
      <c r="B14" s="33">
        <f>(1-B12)+B13</f>
        <v>0.17</v>
      </c>
      <c r="C14" s="35" t="s">
        <v>234</v>
      </c>
      <c r="D14" s="7" t="s">
        <v>129</v>
      </c>
      <c r="E14" s="10">
        <f>PMT(0.05,(1/B14),-B56)</f>
        <v>280.57349679106335</v>
      </c>
      <c r="F14" s="35" t="s">
        <v>38</v>
      </c>
    </row>
    <row r="15" spans="1:7" x14ac:dyDescent="0.3">
      <c r="A15" s="7" t="s">
        <v>303</v>
      </c>
      <c r="B15" s="4">
        <f>(B5*B4)*B6</f>
        <v>10913.5</v>
      </c>
      <c r="C15" s="35" t="s">
        <v>304</v>
      </c>
      <c r="G15" s="4"/>
    </row>
    <row r="16" spans="1:7" x14ac:dyDescent="0.3">
      <c r="A16" s="7" t="s">
        <v>318</v>
      </c>
      <c r="B16" s="4">
        <f>B15/26</f>
        <v>419.75</v>
      </c>
      <c r="C16" s="35" t="s">
        <v>319</v>
      </c>
      <c r="D16" s="31" t="s">
        <v>323</v>
      </c>
      <c r="E16" s="69">
        <f>E11/B18</f>
        <v>1.9099226169614847</v>
      </c>
      <c r="F16" s="99" t="s">
        <v>306</v>
      </c>
    </row>
    <row r="17" spans="1:6" x14ac:dyDescent="0.3">
      <c r="A17" s="7" t="s">
        <v>320</v>
      </c>
      <c r="B17" s="4">
        <f>((B8-83)*((B7*0.7)/1000))</f>
        <v>45.338999999999999</v>
      </c>
      <c r="D17" s="31" t="s">
        <v>28</v>
      </c>
      <c r="E17" s="27">
        <f>E11-E13-E14</f>
        <v>187.9605032089367</v>
      </c>
      <c r="F17" s="35" t="s">
        <v>325</v>
      </c>
    </row>
    <row r="18" spans="1:6" x14ac:dyDescent="0.3">
      <c r="A18" s="7" t="s">
        <v>322</v>
      </c>
      <c r="B18" s="4">
        <f>B16+B17</f>
        <v>465.089</v>
      </c>
      <c r="D18" s="31" t="s">
        <v>305</v>
      </c>
      <c r="E18" s="69">
        <f>E17/(B15/26)</f>
        <v>0.44779155022974793</v>
      </c>
      <c r="F18" s="30" t="s">
        <v>306</v>
      </c>
    </row>
    <row r="20" spans="1:6" ht="65.25" customHeight="1" x14ac:dyDescent="0.3">
      <c r="A20" s="104" t="s">
        <v>314</v>
      </c>
      <c r="B20" s="104"/>
      <c r="C20" s="104"/>
      <c r="D20" s="104"/>
      <c r="E20" s="104"/>
      <c r="F20" s="104"/>
    </row>
    <row r="21" spans="1:6" x14ac:dyDescent="0.3">
      <c r="A21" s="13" t="s">
        <v>316</v>
      </c>
    </row>
    <row r="22" spans="1:6" x14ac:dyDescent="0.3">
      <c r="A22" s="7" t="s">
        <v>41</v>
      </c>
      <c r="B22" s="4">
        <f>B7</f>
        <v>510</v>
      </c>
      <c r="C22" s="35" t="s">
        <v>138</v>
      </c>
      <c r="D22" s="7" t="s">
        <v>49</v>
      </c>
      <c r="E22" s="37">
        <f>0.01925+(0.004214*B24)*1.15</f>
        <v>2.5307625E-2</v>
      </c>
      <c r="F22" s="35" t="s">
        <v>146</v>
      </c>
    </row>
    <row r="23" spans="1:6" x14ac:dyDescent="0.3">
      <c r="A23" s="7" t="s">
        <v>127</v>
      </c>
      <c r="B23" s="9">
        <v>150</v>
      </c>
      <c r="C23" s="35" t="s">
        <v>85</v>
      </c>
      <c r="D23" s="7" t="s">
        <v>307</v>
      </c>
      <c r="E23" s="4">
        <f>(((B22+B25)/2)*E22)*B23</f>
        <v>2291.9217890625</v>
      </c>
      <c r="F23" s="30" t="s">
        <v>138</v>
      </c>
    </row>
    <row r="24" spans="1:6" x14ac:dyDescent="0.3">
      <c r="A24" s="7" t="s">
        <v>43</v>
      </c>
      <c r="B24" s="5">
        <v>1.25</v>
      </c>
      <c r="C24" s="35" t="s">
        <v>137</v>
      </c>
      <c r="D24" s="7" t="s">
        <v>42</v>
      </c>
      <c r="E24" s="8">
        <v>0.9</v>
      </c>
      <c r="F24" s="35" t="s">
        <v>135</v>
      </c>
    </row>
    <row r="25" spans="1:6" x14ac:dyDescent="0.3">
      <c r="A25" s="7" t="s">
        <v>45</v>
      </c>
      <c r="B25" s="4">
        <f>B22+(B23*B24)</f>
        <v>697.5</v>
      </c>
      <c r="C25" s="35" t="s">
        <v>138</v>
      </c>
      <c r="D25" s="7" t="s">
        <v>44</v>
      </c>
      <c r="E25" s="12">
        <f>E24*B23</f>
        <v>135</v>
      </c>
      <c r="F25" s="35" t="s">
        <v>36</v>
      </c>
    </row>
    <row r="26" spans="1:6" x14ac:dyDescent="0.3">
      <c r="D26" s="7" t="s">
        <v>144</v>
      </c>
      <c r="E26" s="10">
        <f>E5</f>
        <v>887.4</v>
      </c>
      <c r="F26" s="35" t="s">
        <v>36</v>
      </c>
    </row>
    <row r="27" spans="1:6" x14ac:dyDescent="0.3">
      <c r="A27" s="7" t="s">
        <v>46</v>
      </c>
      <c r="B27" s="8">
        <v>1.6</v>
      </c>
      <c r="C27" s="35" t="s">
        <v>140</v>
      </c>
      <c r="D27" s="31" t="s">
        <v>47</v>
      </c>
      <c r="E27" s="27">
        <f>B28-(E26+E25)</f>
        <v>93.600000000000023</v>
      </c>
      <c r="F27" s="35" t="s">
        <v>36</v>
      </c>
    </row>
    <row r="28" spans="1:6" x14ac:dyDescent="0.3">
      <c r="A28" s="7" t="s">
        <v>48</v>
      </c>
      <c r="B28" s="12">
        <f>B25*B27</f>
        <v>1116</v>
      </c>
      <c r="C28" s="35" t="s">
        <v>36</v>
      </c>
      <c r="D28" s="31" t="s">
        <v>305</v>
      </c>
      <c r="E28" s="69">
        <f>E27/(E23/26)</f>
        <v>1.0618163375441592</v>
      </c>
      <c r="F28" s="35" t="s">
        <v>306</v>
      </c>
    </row>
    <row r="29" spans="1:6" x14ac:dyDescent="0.3">
      <c r="A29" s="7"/>
      <c r="B29" s="12"/>
      <c r="C29" s="35"/>
      <c r="D29" s="31"/>
      <c r="E29" s="69"/>
      <c r="F29" s="35"/>
    </row>
    <row r="30" spans="1:6" ht="32.4" customHeight="1" x14ac:dyDescent="0.3">
      <c r="A30" s="104" t="s">
        <v>315</v>
      </c>
      <c r="B30" s="104"/>
      <c r="C30" s="104"/>
      <c r="D30" s="104"/>
      <c r="E30" s="104"/>
      <c r="F30" s="104"/>
    </row>
    <row r="31" spans="1:6" x14ac:dyDescent="0.3">
      <c r="A31" s="13" t="s">
        <v>317</v>
      </c>
    </row>
    <row r="32" spans="1:6" x14ac:dyDescent="0.3">
      <c r="A32" s="7" t="s">
        <v>41</v>
      </c>
      <c r="B32" s="4">
        <f>B25</f>
        <v>697.5</v>
      </c>
      <c r="C32" s="35" t="s">
        <v>138</v>
      </c>
      <c r="D32" s="7" t="s">
        <v>49</v>
      </c>
      <c r="E32" s="37">
        <f>0.01925+(0.004214*B34)*1.15</f>
        <v>2.7972980000000001E-2</v>
      </c>
      <c r="F32" s="35" t="s">
        <v>146</v>
      </c>
    </row>
    <row r="33" spans="1:6" x14ac:dyDescent="0.3">
      <c r="A33" s="7" t="s">
        <v>127</v>
      </c>
      <c r="B33" s="9">
        <v>90</v>
      </c>
      <c r="C33" s="35" t="s">
        <v>85</v>
      </c>
      <c r="D33" s="7" t="s">
        <v>309</v>
      </c>
      <c r="E33" s="4">
        <f>(((B32+B35)/2)*E32)*B33</f>
        <v>1959.9268437000001</v>
      </c>
      <c r="F33" t="s">
        <v>138</v>
      </c>
    </row>
    <row r="34" spans="1:6" x14ac:dyDescent="0.3">
      <c r="A34" s="7" t="s">
        <v>43</v>
      </c>
      <c r="B34" s="5">
        <v>1.8</v>
      </c>
      <c r="C34" s="35" t="s">
        <v>137</v>
      </c>
      <c r="D34" s="7" t="s">
        <v>42</v>
      </c>
      <c r="E34" s="8">
        <v>0.75</v>
      </c>
      <c r="F34" s="35" t="s">
        <v>135</v>
      </c>
    </row>
    <row r="35" spans="1:6" x14ac:dyDescent="0.3">
      <c r="A35" s="7" t="s">
        <v>45</v>
      </c>
      <c r="B35" s="4">
        <f>(B33*B34)+B32</f>
        <v>859.5</v>
      </c>
      <c r="C35" s="35" t="s">
        <v>138</v>
      </c>
      <c r="D35" s="7" t="s">
        <v>44</v>
      </c>
      <c r="E35" s="12">
        <f>E34*B33</f>
        <v>67.5</v>
      </c>
      <c r="F35" s="35" t="s">
        <v>36</v>
      </c>
    </row>
    <row r="36" spans="1:6" x14ac:dyDescent="0.3">
      <c r="A36" s="7" t="s">
        <v>46</v>
      </c>
      <c r="B36" s="8">
        <v>1.58</v>
      </c>
      <c r="C36" s="35" t="s">
        <v>140</v>
      </c>
      <c r="D36" s="7" t="s">
        <v>144</v>
      </c>
      <c r="E36" s="10">
        <f>B32*(B36*1.16)</f>
        <v>1278.3779999999999</v>
      </c>
      <c r="F36" s="35" t="s">
        <v>36</v>
      </c>
    </row>
    <row r="37" spans="1:6" x14ac:dyDescent="0.3">
      <c r="A37" s="7" t="s">
        <v>48</v>
      </c>
      <c r="B37" s="12">
        <f>B35*B36</f>
        <v>1358.01</v>
      </c>
      <c r="C37" s="35" t="s">
        <v>36</v>
      </c>
      <c r="F37" s="35"/>
    </row>
    <row r="38" spans="1:6" x14ac:dyDescent="0.3">
      <c r="A38" s="7"/>
      <c r="B38" s="12"/>
      <c r="C38" s="35"/>
      <c r="D38" s="31" t="s">
        <v>47</v>
      </c>
      <c r="E38" s="27">
        <f>B37-(E36+E35)</f>
        <v>12.132000000000062</v>
      </c>
      <c r="F38" s="35" t="s">
        <v>36</v>
      </c>
    </row>
    <row r="39" spans="1:6" x14ac:dyDescent="0.3">
      <c r="A39" s="7"/>
      <c r="B39" s="12"/>
      <c r="C39" s="35"/>
      <c r="D39" s="31" t="s">
        <v>305</v>
      </c>
      <c r="E39" s="69">
        <f>E38/(E33/26)</f>
        <v>0.16094070093173529</v>
      </c>
      <c r="F39" s="35" t="s">
        <v>306</v>
      </c>
    </row>
    <row r="40" spans="1:6" ht="95.25" customHeight="1" x14ac:dyDescent="0.3">
      <c r="A40" s="106" t="s">
        <v>236</v>
      </c>
      <c r="B40" s="106"/>
      <c r="C40" s="106"/>
      <c r="D40" s="106"/>
      <c r="E40" s="106"/>
      <c r="F40" s="106"/>
    </row>
    <row r="41" spans="1:6" x14ac:dyDescent="0.3">
      <c r="A41" s="13" t="s">
        <v>120</v>
      </c>
    </row>
    <row r="42" spans="1:6" x14ac:dyDescent="0.3">
      <c r="A42" s="7" t="s">
        <v>50</v>
      </c>
      <c r="B42" s="4">
        <f>B35*1.05</f>
        <v>902.47500000000002</v>
      </c>
      <c r="C42" s="35" t="s">
        <v>138</v>
      </c>
      <c r="D42" s="7" t="s">
        <v>54</v>
      </c>
      <c r="E42" s="37">
        <f>0.01925+(0.004214*B44)*1.15</f>
        <v>2.8942200000000001E-2</v>
      </c>
      <c r="F42" s="35" t="s">
        <v>146</v>
      </c>
    </row>
    <row r="43" spans="1:6" x14ac:dyDescent="0.3">
      <c r="A43" s="7" t="s">
        <v>127</v>
      </c>
      <c r="B43" s="9">
        <v>80</v>
      </c>
      <c r="C43" s="35" t="s">
        <v>85</v>
      </c>
      <c r="D43" t="s">
        <v>308</v>
      </c>
      <c r="E43" s="4">
        <f>(((B42+B45)/2)*E42)*B43</f>
        <v>2274.7990356</v>
      </c>
    </row>
    <row r="44" spans="1:6" x14ac:dyDescent="0.3">
      <c r="A44" s="7" t="s">
        <v>43</v>
      </c>
      <c r="B44" s="19">
        <v>2</v>
      </c>
      <c r="C44" s="35" t="s">
        <v>137</v>
      </c>
      <c r="D44" s="7" t="s">
        <v>51</v>
      </c>
      <c r="E44" s="8">
        <v>1.5</v>
      </c>
      <c r="F44" s="35" t="s">
        <v>135</v>
      </c>
    </row>
    <row r="45" spans="1:6" x14ac:dyDescent="0.3">
      <c r="A45" s="7" t="s">
        <v>235</v>
      </c>
      <c r="B45" s="4">
        <f>B42+(B43*B44)</f>
        <v>1062.4749999999999</v>
      </c>
      <c r="C45" s="35" t="s">
        <v>138</v>
      </c>
      <c r="D45" s="7" t="s">
        <v>52</v>
      </c>
      <c r="E45" s="12">
        <f>E44*B43</f>
        <v>120</v>
      </c>
      <c r="F45" s="35" t="s">
        <v>36</v>
      </c>
    </row>
    <row r="46" spans="1:6" x14ac:dyDescent="0.3">
      <c r="A46" s="96" t="s">
        <v>53</v>
      </c>
      <c r="B46" s="97">
        <f>B4*0.92</f>
        <v>1058</v>
      </c>
      <c r="C46" s="35" t="s">
        <v>138</v>
      </c>
      <c r="D46" s="7" t="s">
        <v>145</v>
      </c>
      <c r="E46" s="10">
        <f>B37</f>
        <v>1358.01</v>
      </c>
      <c r="F46" s="35" t="s">
        <v>36</v>
      </c>
    </row>
    <row r="47" spans="1:6" x14ac:dyDescent="0.3">
      <c r="D47" s="7" t="s">
        <v>172</v>
      </c>
      <c r="E47" s="16">
        <v>0</v>
      </c>
      <c r="F47" s="35"/>
    </row>
    <row r="48" spans="1:6" x14ac:dyDescent="0.3">
      <c r="A48" s="7" t="s">
        <v>46</v>
      </c>
      <c r="B48" s="8">
        <v>2.1</v>
      </c>
      <c r="C48" s="35" t="s">
        <v>140</v>
      </c>
      <c r="D48" s="31" t="s">
        <v>28</v>
      </c>
      <c r="E48" s="27">
        <f>B49-(E45+E46+E47)</f>
        <v>753.18749999999977</v>
      </c>
      <c r="F48" s="35" t="s">
        <v>36</v>
      </c>
    </row>
    <row r="49" spans="1:6" x14ac:dyDescent="0.3">
      <c r="A49" s="7" t="s">
        <v>48</v>
      </c>
      <c r="B49" s="12">
        <f>B45*B48</f>
        <v>2231.1974999999998</v>
      </c>
      <c r="C49" s="35" t="s">
        <v>36</v>
      </c>
      <c r="D49" s="31" t="s">
        <v>305</v>
      </c>
      <c r="E49" s="69">
        <f>E48/(E43/26)</f>
        <v>8.6086175937008971</v>
      </c>
      <c r="F49" s="35" t="s">
        <v>306</v>
      </c>
    </row>
    <row r="50" spans="1:6" ht="65.25" customHeight="1" x14ac:dyDescent="0.3">
      <c r="A50" s="104" t="s">
        <v>237</v>
      </c>
      <c r="B50" s="104"/>
      <c r="C50" s="104"/>
      <c r="D50" s="104"/>
      <c r="E50" s="104"/>
      <c r="F50" s="104"/>
    </row>
    <row r="51" spans="1:6" x14ac:dyDescent="0.3">
      <c r="A51" s="13" t="s">
        <v>55</v>
      </c>
    </row>
    <row r="52" spans="1:6" x14ac:dyDescent="0.3">
      <c r="A52" s="7" t="s">
        <v>56</v>
      </c>
      <c r="B52" s="29">
        <f>B25*0.95</f>
        <v>662.625</v>
      </c>
      <c r="C52" s="35" t="s">
        <v>138</v>
      </c>
      <c r="D52" s="7" t="s">
        <v>61</v>
      </c>
      <c r="E52" s="38">
        <f>0.01925+(0.004214*B55)*1.15</f>
        <v>2.4823015E-2</v>
      </c>
      <c r="F52" s="35" t="s">
        <v>146</v>
      </c>
    </row>
    <row r="53" spans="1:6" x14ac:dyDescent="0.3">
      <c r="A53" s="7" t="s">
        <v>58</v>
      </c>
      <c r="B53" s="28">
        <f>B27*0.85</f>
        <v>1.36</v>
      </c>
      <c r="C53" s="35" t="s">
        <v>137</v>
      </c>
      <c r="D53" s="7" t="s">
        <v>309</v>
      </c>
      <c r="E53" s="4">
        <f>(((B52+B57)/2)*E52)*E55</f>
        <v>5847.1232407874995</v>
      </c>
    </row>
    <row r="54" spans="1:6" x14ac:dyDescent="0.3">
      <c r="A54" s="7" t="s">
        <v>59</v>
      </c>
      <c r="B54" s="14">
        <f>B52*B53</f>
        <v>901.17000000000007</v>
      </c>
      <c r="C54" s="35" t="s">
        <v>138</v>
      </c>
      <c r="D54" s="7" t="s">
        <v>57</v>
      </c>
      <c r="E54" s="8">
        <v>1</v>
      </c>
      <c r="F54" s="35" t="s">
        <v>135</v>
      </c>
    </row>
    <row r="55" spans="1:6" x14ac:dyDescent="0.3">
      <c r="A55" s="7" t="s">
        <v>60</v>
      </c>
      <c r="B55" s="15">
        <v>1.1499999999999999</v>
      </c>
      <c r="C55" s="35" t="s">
        <v>148</v>
      </c>
      <c r="D55" s="7" t="s">
        <v>128</v>
      </c>
      <c r="E55" s="9">
        <v>285</v>
      </c>
      <c r="F55" s="35" t="s">
        <v>85</v>
      </c>
    </row>
    <row r="56" spans="1:6" x14ac:dyDescent="0.3">
      <c r="A56" s="7" t="s">
        <v>62</v>
      </c>
      <c r="B56" s="16">
        <v>1400</v>
      </c>
      <c r="C56" s="35" t="s">
        <v>36</v>
      </c>
      <c r="D56" s="7" t="s">
        <v>173</v>
      </c>
      <c r="E56" s="10">
        <f>E55*E54</f>
        <v>285</v>
      </c>
      <c r="F56" s="35" t="s">
        <v>36</v>
      </c>
    </row>
    <row r="57" spans="1:6" x14ac:dyDescent="0.3">
      <c r="A57" s="7" t="s">
        <v>208</v>
      </c>
      <c r="B57" s="29">
        <f>B52+(E55*B55)</f>
        <v>990.375</v>
      </c>
      <c r="C57" s="35" t="s">
        <v>138</v>
      </c>
      <c r="D57" s="7"/>
      <c r="E57" s="10"/>
      <c r="F57" s="35"/>
    </row>
    <row r="58" spans="1:6" x14ac:dyDescent="0.3">
      <c r="A58" s="7" t="s">
        <v>209</v>
      </c>
      <c r="B58" s="4">
        <f>B4*0.87</f>
        <v>1000.5</v>
      </c>
      <c r="C58" s="35" t="s">
        <v>138</v>
      </c>
      <c r="D58" s="31" t="s">
        <v>28</v>
      </c>
      <c r="E58" s="27">
        <f>B56-(B54+E56)</f>
        <v>213.82999999999993</v>
      </c>
      <c r="F58" s="35" t="s">
        <v>36</v>
      </c>
    </row>
    <row r="59" spans="1:6" x14ac:dyDescent="0.3">
      <c r="D59" s="31" t="s">
        <v>305</v>
      </c>
      <c r="E59" s="69">
        <f>E58/(E53/26)</f>
        <v>0.95082312635695798</v>
      </c>
      <c r="F59" s="35" t="s">
        <v>306</v>
      </c>
    </row>
    <row r="60" spans="1:6" ht="15.75" customHeight="1" x14ac:dyDescent="0.3">
      <c r="A60" s="106" t="s">
        <v>238</v>
      </c>
      <c r="B60" s="106"/>
      <c r="C60" s="106"/>
      <c r="D60" s="106"/>
      <c r="E60" s="106"/>
      <c r="F60" s="106"/>
    </row>
    <row r="61" spans="1:6" x14ac:dyDescent="0.3">
      <c r="A61" s="17" t="s">
        <v>63</v>
      </c>
    </row>
    <row r="62" spans="1:6" x14ac:dyDescent="0.3">
      <c r="A62" s="18" t="s">
        <v>64</v>
      </c>
      <c r="B62" s="5">
        <v>500</v>
      </c>
      <c r="C62" s="30" t="s">
        <v>138</v>
      </c>
      <c r="D62" s="7" t="s">
        <v>49</v>
      </c>
      <c r="E62" s="37">
        <f>0.01925+(0.004214*B64)*1.15</f>
        <v>2.8942200000000001E-2</v>
      </c>
      <c r="F62" s="35" t="s">
        <v>146</v>
      </c>
    </row>
    <row r="63" spans="1:6" x14ac:dyDescent="0.3">
      <c r="A63" s="18" t="s">
        <v>65</v>
      </c>
      <c r="B63" s="5">
        <v>120</v>
      </c>
      <c r="C63" s="30" t="s">
        <v>136</v>
      </c>
      <c r="D63" s="7" t="s">
        <v>309</v>
      </c>
      <c r="E63" s="4">
        <f>(((B62+B66)/2)*E62)*B63</f>
        <v>2153.2996800000001</v>
      </c>
      <c r="F63" s="35" t="s">
        <v>138</v>
      </c>
    </row>
    <row r="64" spans="1:6" x14ac:dyDescent="0.3">
      <c r="A64" s="18" t="s">
        <v>66</v>
      </c>
      <c r="B64" s="19">
        <v>2</v>
      </c>
      <c r="C64" s="30" t="s">
        <v>137</v>
      </c>
      <c r="D64" s="7" t="s">
        <v>42</v>
      </c>
      <c r="E64" s="8">
        <v>0.72</v>
      </c>
      <c r="F64" s="35" t="s">
        <v>135</v>
      </c>
    </row>
    <row r="65" spans="1:6" x14ac:dyDescent="0.3">
      <c r="A65" s="18" t="s">
        <v>67</v>
      </c>
      <c r="B65">
        <f>B63*B64</f>
        <v>240</v>
      </c>
      <c r="C65" s="30" t="s">
        <v>138</v>
      </c>
      <c r="D65" s="7" t="s">
        <v>44</v>
      </c>
      <c r="E65" s="12">
        <f>B63*E64</f>
        <v>86.399999999999991</v>
      </c>
      <c r="F65" s="35" t="s">
        <v>36</v>
      </c>
    </row>
    <row r="66" spans="1:6" x14ac:dyDescent="0.3">
      <c r="A66" s="18" t="s">
        <v>68</v>
      </c>
      <c r="B66">
        <f>B62+(B63*B64)</f>
        <v>740</v>
      </c>
      <c r="C66" s="30" t="s">
        <v>138</v>
      </c>
      <c r="D66" s="18" t="s">
        <v>71</v>
      </c>
      <c r="E66" s="10">
        <f>B68*B63</f>
        <v>108</v>
      </c>
      <c r="F66" s="30" t="s">
        <v>36</v>
      </c>
    </row>
    <row r="67" spans="1:6" x14ac:dyDescent="0.3">
      <c r="A67" s="7" t="s">
        <v>69</v>
      </c>
      <c r="B67" s="8">
        <v>0.45</v>
      </c>
      <c r="C67" s="30" t="s">
        <v>140</v>
      </c>
      <c r="D67" s="31" t="s">
        <v>28</v>
      </c>
      <c r="E67" s="27">
        <f>E66-E65</f>
        <v>21.600000000000009</v>
      </c>
      <c r="F67" s="30" t="s">
        <v>36</v>
      </c>
    </row>
    <row r="68" spans="1:6" x14ac:dyDescent="0.3">
      <c r="A68" s="7" t="s">
        <v>70</v>
      </c>
      <c r="B68" s="20">
        <f>B67*B64</f>
        <v>0.9</v>
      </c>
      <c r="C68" s="30" t="s">
        <v>142</v>
      </c>
      <c r="D68" s="31" t="s">
        <v>305</v>
      </c>
      <c r="E68" s="69">
        <f>E67/(E63/26)</f>
        <v>0.26080902960984981</v>
      </c>
      <c r="F68" s="35" t="s">
        <v>306</v>
      </c>
    </row>
    <row r="69" spans="1:6" ht="15.6" customHeight="1" x14ac:dyDescent="0.3"/>
    <row r="70" spans="1:6" ht="57.6" customHeight="1" x14ac:dyDescent="0.3">
      <c r="A70" s="101" t="s">
        <v>239</v>
      </c>
      <c r="B70" s="101"/>
      <c r="C70" s="101"/>
      <c r="D70" s="101"/>
      <c r="E70" s="101"/>
      <c r="F70" s="101"/>
    </row>
    <row r="71" spans="1:6" x14ac:dyDescent="0.3">
      <c r="A71" s="1" t="s">
        <v>72</v>
      </c>
    </row>
    <row r="72" spans="1:6" x14ac:dyDescent="0.3">
      <c r="A72" s="18" t="s">
        <v>64</v>
      </c>
      <c r="B72" s="5">
        <v>1100</v>
      </c>
      <c r="C72" s="35" t="s">
        <v>138</v>
      </c>
      <c r="D72" s="7" t="s">
        <v>80</v>
      </c>
      <c r="E72" s="37">
        <f>0.01925+(0.004214*B76)*1.15</f>
        <v>3.1365249999999997E-2</v>
      </c>
      <c r="F72" s="35" t="s">
        <v>146</v>
      </c>
    </row>
    <row r="73" spans="1:6" x14ac:dyDescent="0.3">
      <c r="A73" s="18" t="s">
        <v>74</v>
      </c>
      <c r="B73" s="8">
        <v>0.52</v>
      </c>
      <c r="C73" s="35" t="s">
        <v>140</v>
      </c>
      <c r="D73" s="7" t="s">
        <v>309</v>
      </c>
      <c r="E73" s="4">
        <f>(((B72+B78)/2)*E72)*B75</f>
        <v>3422.7329062499994</v>
      </c>
      <c r="F73" s="35" t="s">
        <v>138</v>
      </c>
    </row>
    <row r="74" spans="1:6" x14ac:dyDescent="0.3">
      <c r="A74" s="18" t="s">
        <v>76</v>
      </c>
      <c r="B74" s="22">
        <f>B73*B72</f>
        <v>572</v>
      </c>
      <c r="C74" s="35" t="s">
        <v>143</v>
      </c>
      <c r="D74" s="7" t="s">
        <v>73</v>
      </c>
      <c r="E74" s="8">
        <v>1.25</v>
      </c>
      <c r="F74" s="35" t="s">
        <v>135</v>
      </c>
    </row>
    <row r="75" spans="1:6" x14ac:dyDescent="0.3">
      <c r="A75" s="18" t="s">
        <v>65</v>
      </c>
      <c r="B75" s="5">
        <v>90</v>
      </c>
      <c r="C75" s="35" t="s">
        <v>85</v>
      </c>
      <c r="D75" s="7" t="s">
        <v>75</v>
      </c>
      <c r="E75" s="24">
        <f>E74*B75</f>
        <v>112.5</v>
      </c>
      <c r="F75" s="35" t="s">
        <v>36</v>
      </c>
    </row>
    <row r="76" spans="1:6" x14ac:dyDescent="0.3">
      <c r="A76" s="18" t="s">
        <v>66</v>
      </c>
      <c r="B76" s="19">
        <v>2.5</v>
      </c>
      <c r="C76" s="35" t="s">
        <v>137</v>
      </c>
      <c r="D76" s="7" t="s">
        <v>77</v>
      </c>
      <c r="E76" s="4">
        <f>E75+B74</f>
        <v>684.5</v>
      </c>
      <c r="F76" s="35" t="s">
        <v>36</v>
      </c>
    </row>
    <row r="77" spans="1:6" x14ac:dyDescent="0.3">
      <c r="A77" s="18" t="s">
        <v>67</v>
      </c>
      <c r="B77">
        <f>B75*B76</f>
        <v>225</v>
      </c>
      <c r="C77" s="35" t="s">
        <v>138</v>
      </c>
      <c r="D77" s="7" t="s">
        <v>79</v>
      </c>
      <c r="E77" s="12">
        <f>B78*B79</f>
        <v>768.5</v>
      </c>
      <c r="F77" s="35" t="s">
        <v>143</v>
      </c>
    </row>
    <row r="78" spans="1:6" x14ac:dyDescent="0.3">
      <c r="A78" s="18" t="s">
        <v>68</v>
      </c>
      <c r="B78">
        <f>B72+(B75*B76)</f>
        <v>1325</v>
      </c>
      <c r="C78" s="35" t="s">
        <v>138</v>
      </c>
      <c r="E78" s="10"/>
      <c r="F78" s="35"/>
    </row>
    <row r="79" spans="1:6" x14ac:dyDescent="0.3">
      <c r="A79" s="7" t="s">
        <v>78</v>
      </c>
      <c r="B79" s="8">
        <v>0.57999999999999996</v>
      </c>
      <c r="C79" s="35" t="s">
        <v>143</v>
      </c>
      <c r="D79" s="31" t="s">
        <v>28</v>
      </c>
      <c r="E79" s="27">
        <f>E77-E76</f>
        <v>84</v>
      </c>
      <c r="F79" s="35" t="s">
        <v>36</v>
      </c>
    </row>
    <row r="80" spans="1:6" x14ac:dyDescent="0.3">
      <c r="D80" s="31" t="s">
        <v>305</v>
      </c>
      <c r="E80" s="69">
        <f>E79/(E73/26)</f>
        <v>0.63808659916523403</v>
      </c>
      <c r="F80" s="35" t="s">
        <v>306</v>
      </c>
    </row>
    <row r="81" spans="1:6" ht="60" customHeight="1" x14ac:dyDescent="0.3">
      <c r="A81" s="104" t="s">
        <v>240</v>
      </c>
      <c r="B81" s="104"/>
      <c r="C81" s="104"/>
      <c r="D81" s="104"/>
      <c r="E81" s="104"/>
      <c r="F81" s="104"/>
    </row>
    <row r="82" spans="1:6" x14ac:dyDescent="0.3">
      <c r="A82" s="13" t="s">
        <v>174</v>
      </c>
    </row>
    <row r="83" spans="1:6" x14ac:dyDescent="0.3">
      <c r="A83" s="7" t="s">
        <v>175</v>
      </c>
      <c r="B83" s="5">
        <v>140</v>
      </c>
      <c r="C83" s="30" t="s">
        <v>138</v>
      </c>
      <c r="D83" s="7" t="s">
        <v>179</v>
      </c>
      <c r="E83" s="11">
        <v>0.03</v>
      </c>
      <c r="F83" s="30" t="s">
        <v>189</v>
      </c>
    </row>
    <row r="84" spans="1:6" x14ac:dyDescent="0.3">
      <c r="A84" s="7" t="s">
        <v>177</v>
      </c>
      <c r="B84" s="6">
        <v>1.75</v>
      </c>
      <c r="C84" s="30" t="s">
        <v>185</v>
      </c>
      <c r="D84" s="7" t="s">
        <v>299</v>
      </c>
      <c r="E84" s="4">
        <f>(B83*E83)*E88</f>
        <v>1533</v>
      </c>
      <c r="F84" t="s">
        <v>300</v>
      </c>
    </row>
    <row r="85" spans="1:6" x14ac:dyDescent="0.3">
      <c r="A85" s="7" t="s">
        <v>288</v>
      </c>
      <c r="B85">
        <f>B84*1</f>
        <v>1.75</v>
      </c>
      <c r="C85" t="s">
        <v>313</v>
      </c>
      <c r="D85" s="7" t="s">
        <v>82</v>
      </c>
      <c r="E85" s="94">
        <f>E84/(365*26)</f>
        <v>0.16153846153846155</v>
      </c>
    </row>
    <row r="86" spans="1:6" x14ac:dyDescent="0.3">
      <c r="A86" s="7" t="s">
        <v>223</v>
      </c>
      <c r="B86" s="5">
        <v>75</v>
      </c>
      <c r="C86" s="30" t="s">
        <v>138</v>
      </c>
      <c r="D86" s="7"/>
    </row>
    <row r="87" spans="1:6" x14ac:dyDescent="0.3">
      <c r="A87" s="7" t="s">
        <v>225</v>
      </c>
      <c r="B87" s="6">
        <v>0.4</v>
      </c>
      <c r="C87" s="30" t="s">
        <v>226</v>
      </c>
      <c r="D87" s="7" t="s">
        <v>176</v>
      </c>
      <c r="E87" s="8">
        <v>0.35</v>
      </c>
      <c r="F87" s="30" t="s">
        <v>188</v>
      </c>
    </row>
    <row r="88" spans="1:6" x14ac:dyDescent="0.3">
      <c r="A88" s="7" t="s">
        <v>228</v>
      </c>
      <c r="B88" s="4">
        <f>B84*B86*B87</f>
        <v>52.5</v>
      </c>
      <c r="C88" s="30" t="s">
        <v>186</v>
      </c>
      <c r="D88" s="7" t="s">
        <v>178</v>
      </c>
      <c r="E88" s="9">
        <v>365</v>
      </c>
      <c r="F88" s="30" t="s">
        <v>85</v>
      </c>
    </row>
    <row r="89" spans="1:6" x14ac:dyDescent="0.3">
      <c r="A89" s="7" t="s">
        <v>224</v>
      </c>
      <c r="B89" s="8">
        <v>3</v>
      </c>
      <c r="C89" s="30" t="s">
        <v>187</v>
      </c>
      <c r="D89" s="7" t="s">
        <v>183</v>
      </c>
      <c r="E89" s="10">
        <f>E88*E87</f>
        <v>127.74999999999999</v>
      </c>
      <c r="F89" s="30" t="s">
        <v>190</v>
      </c>
    </row>
    <row r="90" spans="1:6" x14ac:dyDescent="0.3">
      <c r="A90" s="7" t="s">
        <v>227</v>
      </c>
      <c r="B90" s="10">
        <f>(B89*B88)</f>
        <v>157.5</v>
      </c>
      <c r="C90" s="30" t="s">
        <v>188</v>
      </c>
      <c r="D90" s="7" t="s">
        <v>184</v>
      </c>
      <c r="E90" s="16">
        <f>B97</f>
        <v>350</v>
      </c>
      <c r="F90" s="30" t="s">
        <v>188</v>
      </c>
    </row>
    <row r="91" spans="1:6" x14ac:dyDescent="0.3">
      <c r="D91" s="7" t="s">
        <v>298</v>
      </c>
      <c r="E91" s="45">
        <f>PMT(0.0475,(1/B100),-E90)</f>
        <v>80.283314758976275</v>
      </c>
      <c r="F91" s="30" t="s">
        <v>188</v>
      </c>
    </row>
    <row r="92" spans="1:6" x14ac:dyDescent="0.3">
      <c r="A92" s="7" t="s">
        <v>287</v>
      </c>
      <c r="B92" s="6">
        <v>0.1</v>
      </c>
      <c r="C92" s="30" t="s">
        <v>289</v>
      </c>
    </row>
    <row r="93" spans="1:6" x14ac:dyDescent="0.3">
      <c r="A93" s="7" t="s">
        <v>290</v>
      </c>
      <c r="B93" s="16">
        <v>600</v>
      </c>
      <c r="C93" s="30" t="s">
        <v>36</v>
      </c>
      <c r="D93" s="7" t="s">
        <v>296</v>
      </c>
      <c r="E93" s="8">
        <v>45</v>
      </c>
      <c r="F93" s="30" t="s">
        <v>191</v>
      </c>
    </row>
    <row r="94" spans="1:6" x14ac:dyDescent="0.3">
      <c r="A94" s="7" t="s">
        <v>291</v>
      </c>
      <c r="B94" s="14">
        <f>B85*B92*B93</f>
        <v>105.00000000000001</v>
      </c>
      <c r="C94" s="30" t="s">
        <v>293</v>
      </c>
      <c r="D94" s="7" t="s">
        <v>297</v>
      </c>
      <c r="E94" s="21">
        <f>(B92+B96*B85)*E93</f>
        <v>43.875</v>
      </c>
      <c r="F94" s="30" t="s">
        <v>192</v>
      </c>
    </row>
    <row r="95" spans="1:6" x14ac:dyDescent="0.3">
      <c r="A95" s="7"/>
      <c r="B95" s="14"/>
      <c r="C95" s="30"/>
    </row>
    <row r="96" spans="1:6" x14ac:dyDescent="0.3">
      <c r="A96" s="7" t="s">
        <v>292</v>
      </c>
      <c r="B96" s="6">
        <v>0.5</v>
      </c>
      <c r="C96" s="30" t="s">
        <v>310</v>
      </c>
      <c r="D96" s="7" t="s">
        <v>229</v>
      </c>
      <c r="E96" s="16">
        <v>0</v>
      </c>
      <c r="F96" s="30" t="s">
        <v>242</v>
      </c>
    </row>
    <row r="97" spans="1:6" x14ac:dyDescent="0.3">
      <c r="A97" s="7" t="s">
        <v>294</v>
      </c>
      <c r="B97" s="16">
        <v>350</v>
      </c>
      <c r="C97" s="30" t="s">
        <v>36</v>
      </c>
      <c r="D97" s="7" t="s">
        <v>230</v>
      </c>
      <c r="E97" s="21">
        <f>(B84*B92)*E96</f>
        <v>0</v>
      </c>
      <c r="F97" s="30" t="s">
        <v>241</v>
      </c>
    </row>
    <row r="98" spans="1:6" x14ac:dyDescent="0.3">
      <c r="A98" s="7" t="s">
        <v>295</v>
      </c>
      <c r="B98" s="12">
        <f>B85*B96*B97</f>
        <v>306.25</v>
      </c>
      <c r="C98" s="30" t="s">
        <v>293</v>
      </c>
    </row>
    <row r="99" spans="1:6" x14ac:dyDescent="0.3">
      <c r="A99" s="7"/>
      <c r="B99" s="12"/>
      <c r="D99" s="36" t="s">
        <v>182</v>
      </c>
      <c r="E99" s="95">
        <f>B90+B94+B98+B102</f>
        <v>580.75</v>
      </c>
      <c r="F99" s="98" t="s">
        <v>188</v>
      </c>
    </row>
    <row r="100" spans="1:6" x14ac:dyDescent="0.3">
      <c r="A100" s="7" t="s">
        <v>311</v>
      </c>
      <c r="B100" s="6">
        <v>0.2</v>
      </c>
      <c r="C100" s="30" t="s">
        <v>312</v>
      </c>
      <c r="F100" s="30"/>
    </row>
    <row r="101" spans="1:6" x14ac:dyDescent="0.3">
      <c r="A101" s="7" t="s">
        <v>180</v>
      </c>
      <c r="B101" s="8">
        <v>60</v>
      </c>
      <c r="C101" s="30" t="s">
        <v>36</v>
      </c>
      <c r="D101" s="31" t="s">
        <v>28</v>
      </c>
      <c r="E101" s="27">
        <f>E99-(E89+E91+E94+E97)</f>
        <v>328.84168524102375</v>
      </c>
      <c r="F101" s="30" t="s">
        <v>192</v>
      </c>
    </row>
    <row r="102" spans="1:6" x14ac:dyDescent="0.3">
      <c r="A102" s="7" t="s">
        <v>181</v>
      </c>
      <c r="B102" s="21">
        <f>B101*B100</f>
        <v>12</v>
      </c>
      <c r="C102" s="30" t="s">
        <v>293</v>
      </c>
      <c r="D102" s="31" t="s">
        <v>301</v>
      </c>
      <c r="E102" s="69">
        <f>E101/(E84/26)</f>
        <v>5.5772236244400641</v>
      </c>
      <c r="F102" s="30" t="s">
        <v>97</v>
      </c>
    </row>
  </sheetData>
  <mergeCells count="9">
    <mergeCell ref="A81:F81"/>
    <mergeCell ref="A1:F1"/>
    <mergeCell ref="A20:F20"/>
    <mergeCell ref="A40:F40"/>
    <mergeCell ref="A70:F70"/>
    <mergeCell ref="A2:F2"/>
    <mergeCell ref="A50:F50"/>
    <mergeCell ref="A60:F60"/>
    <mergeCell ref="A30:F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
  <sheetViews>
    <sheetView zoomScale="120" zoomScaleNormal="120" workbookViewId="0">
      <selection activeCell="B6" sqref="B6"/>
    </sheetView>
  </sheetViews>
  <sheetFormatPr defaultColWidth="9.109375" defaultRowHeight="14.4" x14ac:dyDescent="0.3"/>
  <cols>
    <col min="1" max="1" width="32.6640625" customWidth="1"/>
    <col min="2" max="2" width="13.44140625" customWidth="1"/>
    <col min="3" max="3" width="11.88671875" customWidth="1"/>
    <col min="4" max="4" width="12.5546875" customWidth="1"/>
    <col min="5" max="5" width="13.33203125" customWidth="1"/>
    <col min="6" max="6" width="14.109375" customWidth="1"/>
    <col min="7" max="7" width="13.5546875" customWidth="1"/>
    <col min="8" max="8" width="12" customWidth="1"/>
    <col min="9" max="9" width="14.88671875" customWidth="1"/>
    <col min="10" max="11" width="11.88671875" customWidth="1"/>
    <col min="12" max="15" width="12.109375" customWidth="1"/>
  </cols>
  <sheetData>
    <row r="1" spans="1:15" ht="31.5" customHeight="1" x14ac:dyDescent="0.3">
      <c r="A1" s="107" t="s">
        <v>243</v>
      </c>
      <c r="B1" s="108"/>
      <c r="C1" s="108"/>
      <c r="D1" s="108"/>
      <c r="E1" s="108"/>
      <c r="F1" s="108"/>
      <c r="G1" s="108"/>
      <c r="H1" s="108"/>
      <c r="I1" s="108"/>
    </row>
    <row r="2" spans="1:15" ht="79.5" customHeight="1" x14ac:dyDescent="0.3">
      <c r="A2" s="109" t="s">
        <v>245</v>
      </c>
      <c r="B2" s="110"/>
      <c r="C2" s="110"/>
      <c r="D2" s="110"/>
      <c r="E2" s="110"/>
      <c r="F2" s="110"/>
      <c r="G2" s="110"/>
      <c r="H2" s="110"/>
      <c r="I2" s="110"/>
    </row>
    <row r="3" spans="1:15" s="23" customFormat="1" ht="39.75" customHeight="1" x14ac:dyDescent="0.25">
      <c r="A3" s="23" t="s">
        <v>153</v>
      </c>
      <c r="B3" s="23" t="s">
        <v>154</v>
      </c>
      <c r="C3" s="23" t="s">
        <v>155</v>
      </c>
      <c r="D3" s="23" t="s">
        <v>156</v>
      </c>
      <c r="E3" s="23" t="s">
        <v>157</v>
      </c>
      <c r="F3" s="23" t="s">
        <v>213</v>
      </c>
      <c r="G3" s="23" t="s">
        <v>214</v>
      </c>
      <c r="H3" s="23" t="s">
        <v>215</v>
      </c>
      <c r="I3" s="23" t="s">
        <v>158</v>
      </c>
      <c r="J3" s="23" t="s">
        <v>221</v>
      </c>
      <c r="K3" s="23" t="s">
        <v>244</v>
      </c>
      <c r="L3" s="23" t="s">
        <v>217</v>
      </c>
      <c r="M3" s="23" t="s">
        <v>222</v>
      </c>
      <c r="N3" s="23" t="s">
        <v>216</v>
      </c>
      <c r="O3" s="23" t="s">
        <v>220</v>
      </c>
    </row>
    <row r="4" spans="1:15" ht="9" customHeight="1" x14ac:dyDescent="0.3"/>
    <row r="5" spans="1:15" x14ac:dyDescent="0.3">
      <c r="A5" t="s">
        <v>159</v>
      </c>
      <c r="B5" s="39">
        <v>82000</v>
      </c>
      <c r="C5" s="40">
        <v>0</v>
      </c>
      <c r="D5" s="40">
        <v>0</v>
      </c>
      <c r="E5" s="40">
        <v>0</v>
      </c>
      <c r="F5" s="40">
        <v>0</v>
      </c>
      <c r="G5" s="40">
        <v>0</v>
      </c>
      <c r="H5" s="40">
        <v>0</v>
      </c>
      <c r="I5" s="40">
        <v>0</v>
      </c>
      <c r="J5" s="40">
        <v>0</v>
      </c>
      <c r="K5" s="40">
        <v>0</v>
      </c>
      <c r="L5" s="40">
        <v>0</v>
      </c>
      <c r="M5" s="40">
        <v>0</v>
      </c>
      <c r="N5" s="40">
        <v>0</v>
      </c>
      <c r="O5" s="41">
        <f>1-SUM(C5:N5)</f>
        <v>1</v>
      </c>
    </row>
    <row r="6" spans="1:15" x14ac:dyDescent="0.3">
      <c r="A6" t="s">
        <v>160</v>
      </c>
      <c r="B6" s="39">
        <v>10000</v>
      </c>
      <c r="C6" s="40">
        <v>0</v>
      </c>
      <c r="D6" s="40">
        <v>0</v>
      </c>
      <c r="E6" s="40">
        <v>0</v>
      </c>
      <c r="F6" s="40">
        <v>0</v>
      </c>
      <c r="G6" s="40">
        <v>0</v>
      </c>
      <c r="H6" s="40">
        <v>0</v>
      </c>
      <c r="I6" s="40">
        <v>0</v>
      </c>
      <c r="J6" s="40">
        <v>0</v>
      </c>
      <c r="K6" s="40">
        <v>0</v>
      </c>
      <c r="L6" s="40">
        <v>0</v>
      </c>
      <c r="M6" s="40">
        <v>0</v>
      </c>
      <c r="N6" s="40">
        <v>0</v>
      </c>
      <c r="O6" s="41">
        <f t="shared" ref="O6:O14" si="0">1-SUM(C6:N6)</f>
        <v>1</v>
      </c>
    </row>
    <row r="7" spans="1:15" x14ac:dyDescent="0.3">
      <c r="A7" t="s">
        <v>161</v>
      </c>
      <c r="B7" s="42">
        <v>6400</v>
      </c>
      <c r="C7" s="40">
        <v>0</v>
      </c>
      <c r="D7" s="40">
        <v>0</v>
      </c>
      <c r="E7" s="40">
        <v>0</v>
      </c>
      <c r="F7" s="40">
        <v>0</v>
      </c>
      <c r="G7" s="40">
        <v>0</v>
      </c>
      <c r="H7" s="40">
        <v>0</v>
      </c>
      <c r="I7" s="40">
        <v>0</v>
      </c>
      <c r="J7" s="40">
        <v>0</v>
      </c>
      <c r="K7" s="40">
        <v>0</v>
      </c>
      <c r="L7" s="40">
        <v>0</v>
      </c>
      <c r="M7" s="40">
        <v>0</v>
      </c>
      <c r="N7" s="40">
        <v>0</v>
      </c>
      <c r="O7" s="41">
        <f t="shared" si="0"/>
        <v>1</v>
      </c>
    </row>
    <row r="8" spans="1:15" x14ac:dyDescent="0.3">
      <c r="A8" t="s">
        <v>162</v>
      </c>
      <c r="B8" s="42">
        <v>12000</v>
      </c>
      <c r="C8" s="40">
        <v>0</v>
      </c>
      <c r="D8" s="40">
        <v>0</v>
      </c>
      <c r="E8" s="40">
        <v>0</v>
      </c>
      <c r="F8" s="40">
        <v>0</v>
      </c>
      <c r="G8" s="40">
        <v>0</v>
      </c>
      <c r="H8" s="40">
        <v>0</v>
      </c>
      <c r="I8" s="40">
        <v>0</v>
      </c>
      <c r="J8" s="40">
        <v>0</v>
      </c>
      <c r="K8" s="40">
        <v>0</v>
      </c>
      <c r="L8" s="40">
        <v>0</v>
      </c>
      <c r="M8" s="40">
        <v>0</v>
      </c>
      <c r="N8" s="40">
        <v>0</v>
      </c>
      <c r="O8" s="41">
        <f t="shared" si="0"/>
        <v>1</v>
      </c>
    </row>
    <row r="9" spans="1:15" x14ac:dyDescent="0.3">
      <c r="A9" t="s">
        <v>163</v>
      </c>
      <c r="B9" s="39">
        <v>2000</v>
      </c>
      <c r="C9" s="40">
        <v>0</v>
      </c>
      <c r="D9" s="40">
        <v>0</v>
      </c>
      <c r="E9" s="40">
        <v>0</v>
      </c>
      <c r="F9" s="40">
        <v>0</v>
      </c>
      <c r="G9" s="40">
        <v>0</v>
      </c>
      <c r="H9" s="40">
        <v>0</v>
      </c>
      <c r="I9" s="40">
        <v>0</v>
      </c>
      <c r="J9" s="40">
        <v>0</v>
      </c>
      <c r="K9" s="40">
        <v>0</v>
      </c>
      <c r="L9" s="40">
        <v>0</v>
      </c>
      <c r="M9" s="40">
        <v>0</v>
      </c>
      <c r="N9" s="40">
        <v>0</v>
      </c>
      <c r="O9" s="41">
        <f t="shared" si="0"/>
        <v>1</v>
      </c>
    </row>
    <row r="10" spans="1:15" x14ac:dyDescent="0.3">
      <c r="A10" t="s">
        <v>164</v>
      </c>
      <c r="B10" s="39">
        <v>6000</v>
      </c>
      <c r="C10" s="40">
        <v>0</v>
      </c>
      <c r="D10" s="40">
        <v>0</v>
      </c>
      <c r="E10" s="40">
        <v>0</v>
      </c>
      <c r="F10" s="40">
        <v>0</v>
      </c>
      <c r="G10" s="40">
        <v>0</v>
      </c>
      <c r="H10" s="40">
        <v>0</v>
      </c>
      <c r="I10" s="40">
        <v>0</v>
      </c>
      <c r="J10" s="40">
        <v>0</v>
      </c>
      <c r="K10" s="40">
        <v>0</v>
      </c>
      <c r="L10" s="40">
        <v>0</v>
      </c>
      <c r="M10" s="40">
        <v>0</v>
      </c>
      <c r="N10" s="40">
        <v>0</v>
      </c>
      <c r="O10" s="41">
        <f t="shared" si="0"/>
        <v>1</v>
      </c>
    </row>
    <row r="11" spans="1:15" x14ac:dyDescent="0.3">
      <c r="A11" t="s">
        <v>165</v>
      </c>
      <c r="B11" s="39">
        <v>21000</v>
      </c>
      <c r="C11" s="40">
        <v>0</v>
      </c>
      <c r="D11" s="40">
        <v>0</v>
      </c>
      <c r="E11" s="40">
        <v>0</v>
      </c>
      <c r="F11" s="40">
        <v>0</v>
      </c>
      <c r="G11" s="40">
        <v>0</v>
      </c>
      <c r="H11" s="40">
        <v>0</v>
      </c>
      <c r="I11" s="40">
        <v>0</v>
      </c>
      <c r="J11" s="40">
        <v>0</v>
      </c>
      <c r="K11" s="40">
        <v>0</v>
      </c>
      <c r="L11" s="40">
        <v>0</v>
      </c>
      <c r="M11" s="40">
        <v>0</v>
      </c>
      <c r="N11" s="40">
        <v>0</v>
      </c>
      <c r="O11" s="41">
        <f t="shared" si="0"/>
        <v>1</v>
      </c>
    </row>
    <row r="12" spans="1:15" x14ac:dyDescent="0.3">
      <c r="A12" t="s">
        <v>166</v>
      </c>
      <c r="B12" s="42">
        <v>13500</v>
      </c>
      <c r="C12" s="40">
        <v>0</v>
      </c>
      <c r="D12" s="40">
        <v>0</v>
      </c>
      <c r="E12" s="40">
        <v>0</v>
      </c>
      <c r="F12" s="40">
        <v>0</v>
      </c>
      <c r="G12" s="40">
        <v>0</v>
      </c>
      <c r="H12" s="40">
        <v>0</v>
      </c>
      <c r="I12" s="40">
        <v>0</v>
      </c>
      <c r="J12" s="40">
        <v>0</v>
      </c>
      <c r="K12" s="40">
        <v>0</v>
      </c>
      <c r="L12" s="40">
        <v>0</v>
      </c>
      <c r="M12" s="40">
        <v>0</v>
      </c>
      <c r="N12" s="40">
        <v>0</v>
      </c>
      <c r="O12" s="41">
        <f t="shared" si="0"/>
        <v>1</v>
      </c>
    </row>
    <row r="13" spans="1:15" x14ac:dyDescent="0.3">
      <c r="A13" t="s">
        <v>167</v>
      </c>
      <c r="B13" s="42">
        <v>5000</v>
      </c>
      <c r="C13" s="40">
        <v>0</v>
      </c>
      <c r="D13" s="40">
        <v>0</v>
      </c>
      <c r="E13" s="40">
        <v>0</v>
      </c>
      <c r="F13" s="40">
        <v>0</v>
      </c>
      <c r="G13" s="40">
        <v>0</v>
      </c>
      <c r="H13" s="40">
        <v>0</v>
      </c>
      <c r="I13" s="40">
        <v>0</v>
      </c>
      <c r="J13" s="40">
        <v>0</v>
      </c>
      <c r="K13" s="40">
        <v>0</v>
      </c>
      <c r="L13" s="40">
        <v>0</v>
      </c>
      <c r="M13" s="40">
        <v>0</v>
      </c>
      <c r="N13" s="40">
        <v>0</v>
      </c>
      <c r="O13" s="41">
        <f t="shared" si="0"/>
        <v>1</v>
      </c>
    </row>
    <row r="14" spans="1:15" x14ac:dyDescent="0.3">
      <c r="A14" t="s">
        <v>168</v>
      </c>
      <c r="B14" s="42">
        <v>0</v>
      </c>
      <c r="C14" s="40">
        <v>0</v>
      </c>
      <c r="D14" s="40">
        <v>0</v>
      </c>
      <c r="E14" s="40">
        <v>0</v>
      </c>
      <c r="F14" s="40">
        <v>0</v>
      </c>
      <c r="G14" s="40">
        <v>0</v>
      </c>
      <c r="H14" s="40">
        <v>0</v>
      </c>
      <c r="I14" s="40">
        <v>0</v>
      </c>
      <c r="J14" s="40">
        <v>0</v>
      </c>
      <c r="K14" s="40">
        <v>0</v>
      </c>
      <c r="L14" s="40">
        <v>0</v>
      </c>
      <c r="M14" s="40">
        <v>0</v>
      </c>
      <c r="N14" s="40">
        <v>0</v>
      </c>
      <c r="O14" s="41">
        <f t="shared" si="0"/>
        <v>1</v>
      </c>
    </row>
    <row r="15" spans="1:15" ht="6.75" customHeight="1" x14ac:dyDescent="0.3">
      <c r="B15" s="91"/>
    </row>
    <row r="16" spans="1:15" s="43" customFormat="1" ht="13.2" x14ac:dyDescent="0.25">
      <c r="A16" s="71" t="s">
        <v>169</v>
      </c>
      <c r="B16" s="44">
        <f>SUM(B5:B15)</f>
        <v>157900</v>
      </c>
      <c r="C16" s="44">
        <f>($B$5*C$5)+($B$6*C$6)+($B$7*C$7)+($B$8*C$8)+($B$9*C$9)+($B$10*C$10)+($B$11*C$11)+($B$12*C$12)+($B$13*C$13)+($B$14*C$14)</f>
        <v>0</v>
      </c>
      <c r="D16" s="44">
        <f t="shared" ref="D16:N16" si="1">($B$5*D$5)+($B$6*D$6)+($B$7*D$7)+($B$8*D$8)+($B$9*D$9)+($B$10*D$10)+($B$11*D$11)+($B$12*D$12)+($B$13*D$13)+($B$14*D$14)</f>
        <v>0</v>
      </c>
      <c r="E16" s="44">
        <f t="shared" si="1"/>
        <v>0</v>
      </c>
      <c r="F16" s="44">
        <f t="shared" si="1"/>
        <v>0</v>
      </c>
      <c r="G16" s="44">
        <f t="shared" si="1"/>
        <v>0</v>
      </c>
      <c r="H16" s="44">
        <f t="shared" si="1"/>
        <v>0</v>
      </c>
      <c r="I16" s="44">
        <f t="shared" si="1"/>
        <v>0</v>
      </c>
      <c r="J16" s="44">
        <f t="shared" si="1"/>
        <v>0</v>
      </c>
      <c r="K16" s="44">
        <f t="shared" si="1"/>
        <v>0</v>
      </c>
      <c r="L16" s="44">
        <f t="shared" si="1"/>
        <v>0</v>
      </c>
      <c r="M16" s="44">
        <f t="shared" si="1"/>
        <v>0</v>
      </c>
      <c r="N16" s="44">
        <f t="shared" si="1"/>
        <v>0</v>
      </c>
      <c r="O16" s="74"/>
    </row>
    <row r="17" spans="1:15" s="43" customFormat="1" x14ac:dyDescent="0.3">
      <c r="A17" s="71" t="s">
        <v>212</v>
      </c>
      <c r="B17" s="73"/>
      <c r="C17" s="43">
        <f>$B$16*C16</f>
        <v>0</v>
      </c>
      <c r="D17" s="43">
        <f t="shared" ref="D17:L17" si="2">$B$16*D16</f>
        <v>0</v>
      </c>
      <c r="E17" s="43">
        <f t="shared" si="2"/>
        <v>0</v>
      </c>
      <c r="F17" s="43">
        <f t="shared" si="2"/>
        <v>0</v>
      </c>
      <c r="G17" s="43">
        <f t="shared" si="2"/>
        <v>0</v>
      </c>
      <c r="H17" s="43">
        <f t="shared" si="2"/>
        <v>0</v>
      </c>
      <c r="I17" s="43">
        <f t="shared" si="2"/>
        <v>0</v>
      </c>
      <c r="J17" s="43">
        <f t="shared" si="2"/>
        <v>0</v>
      </c>
      <c r="K17" s="43">
        <f t="shared" ref="K17" si="3">$B$16*K16</f>
        <v>0</v>
      </c>
      <c r="L17" s="43">
        <f t="shared" si="2"/>
        <v>0</v>
      </c>
      <c r="M17" s="43">
        <f t="shared" ref="M17" si="4">$B$16*M16</f>
        <v>0</v>
      </c>
      <c r="N17" s="43">
        <f t="shared" ref="N17" si="5">$B$16*N16</f>
        <v>0</v>
      </c>
    </row>
    <row r="18" spans="1:15" s="43" customFormat="1" ht="108" customHeight="1" x14ac:dyDescent="0.25">
      <c r="A18" s="111" t="s">
        <v>246</v>
      </c>
      <c r="B18" s="111"/>
      <c r="C18" s="111"/>
      <c r="D18" s="111"/>
      <c r="E18" s="111"/>
      <c r="F18" s="111"/>
      <c r="G18" s="111"/>
      <c r="H18" s="111"/>
      <c r="I18" s="111"/>
    </row>
    <row r="19" spans="1:15" s="43" customFormat="1" x14ac:dyDescent="0.3">
      <c r="A19" s="71" t="s">
        <v>218</v>
      </c>
      <c r="B19" s="73">
        <f>B16-(B16*(SUM(J16:N16)))</f>
        <v>157900</v>
      </c>
      <c r="D19" s="44"/>
    </row>
    <row r="20" spans="1:15" s="43" customFormat="1" ht="13.2" x14ac:dyDescent="0.25">
      <c r="A20" s="71" t="s">
        <v>170</v>
      </c>
      <c r="B20" s="70">
        <f>B19/'Grazing Resources'!B17</f>
        <v>48.391051179895804</v>
      </c>
      <c r="D20" s="44"/>
    </row>
    <row r="21" spans="1:15" s="43" customFormat="1" ht="13.2" x14ac:dyDescent="0.25">
      <c r="A21" s="71" t="s">
        <v>210</v>
      </c>
      <c r="B21" s="70">
        <f>B19/'Grazing Resources'!B19</f>
        <v>0.93286062093424316</v>
      </c>
      <c r="D21" s="44"/>
    </row>
    <row r="22" spans="1:15" s="43" customFormat="1" ht="13.2" x14ac:dyDescent="0.25">
      <c r="A22" s="71" t="s">
        <v>211</v>
      </c>
      <c r="B22" s="70"/>
      <c r="C22" s="72">
        <f>'Stock policy'!C61</f>
        <v>0.73730958247537282</v>
      </c>
      <c r="D22" s="72">
        <f>'Stock policy'!D61</f>
        <v>0.13134520876231362</v>
      </c>
      <c r="E22" s="72">
        <f>'Stock policy'!E61</f>
        <v>0</v>
      </c>
      <c r="F22" s="72">
        <f>'Stock policy'!F61</f>
        <v>0.13134520876231362</v>
      </c>
      <c r="G22" s="72">
        <f>'Stock policy'!G61</f>
        <v>0</v>
      </c>
      <c r="H22" s="72">
        <f>'Stock policy'!H61</f>
        <v>0</v>
      </c>
      <c r="I22" s="72">
        <f>'Stock policy'!I61</f>
        <v>0</v>
      </c>
      <c r="J22" s="75"/>
      <c r="K22" s="75"/>
      <c r="L22" s="75"/>
      <c r="M22" s="75"/>
      <c r="N22" s="75"/>
      <c r="O22" s="75"/>
    </row>
    <row r="23" spans="1:15" s="43" customFormat="1" ht="13.2" x14ac:dyDescent="0.25">
      <c r="A23" s="43" t="s">
        <v>219</v>
      </c>
      <c r="B23" s="70"/>
      <c r="C23" s="44">
        <f>$B$19*C22</f>
        <v>116421.18307286137</v>
      </c>
      <c r="D23" s="44">
        <f t="shared" ref="D23:I23" si="6">$B$19*D22</f>
        <v>20739.408463569322</v>
      </c>
      <c r="E23" s="44">
        <f t="shared" si="6"/>
        <v>0</v>
      </c>
      <c r="F23" s="44">
        <f t="shared" si="6"/>
        <v>20739.408463569322</v>
      </c>
      <c r="G23" s="44">
        <f t="shared" si="6"/>
        <v>0</v>
      </c>
      <c r="H23" s="44">
        <f t="shared" si="6"/>
        <v>0</v>
      </c>
      <c r="I23" s="44">
        <f t="shared" si="6"/>
        <v>0</v>
      </c>
    </row>
  </sheetData>
  <mergeCells count="3">
    <mergeCell ref="A1:I1"/>
    <mergeCell ref="A2:I2"/>
    <mergeCell ref="A18:I18"/>
  </mergeCells>
  <printOptions gridLine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zoomScale="120" zoomScaleNormal="120" workbookViewId="0">
      <selection activeCell="J64" sqref="J64"/>
    </sheetView>
  </sheetViews>
  <sheetFormatPr defaultRowHeight="14.4" x14ac:dyDescent="0.3"/>
  <cols>
    <col min="1" max="1" width="37.5546875" customWidth="1"/>
    <col min="2" max="2" width="12.6640625" customWidth="1"/>
    <col min="3" max="3" width="14.109375" customWidth="1"/>
    <col min="4" max="4" width="14.5546875" customWidth="1"/>
    <col min="5" max="5" width="13.109375" customWidth="1"/>
    <col min="6" max="6" width="15" customWidth="1"/>
    <col min="7" max="7" width="14.5546875" customWidth="1"/>
    <col min="8" max="8" width="15.44140625" customWidth="1"/>
    <col min="9" max="9" width="14.109375" customWidth="1"/>
    <col min="10" max="10" width="16.5546875" customWidth="1"/>
  </cols>
  <sheetData>
    <row r="1" spans="1:11" ht="36.75" customHeight="1" x14ac:dyDescent="0.3">
      <c r="A1" s="106" t="s">
        <v>247</v>
      </c>
      <c r="B1" s="106"/>
      <c r="C1" s="106"/>
      <c r="D1" s="106"/>
      <c r="E1" s="106"/>
      <c r="F1" s="106"/>
      <c r="G1" s="106"/>
      <c r="H1" s="106"/>
      <c r="I1" s="106"/>
    </row>
    <row r="2" spans="1:11" ht="48" customHeight="1" x14ac:dyDescent="0.3">
      <c r="A2" s="112" t="s">
        <v>248</v>
      </c>
      <c r="B2" s="112"/>
      <c r="C2" s="112"/>
      <c r="D2" s="112"/>
      <c r="E2" s="112"/>
      <c r="F2" s="112"/>
      <c r="G2" s="112"/>
      <c r="H2" s="112"/>
      <c r="I2" s="112"/>
    </row>
    <row r="3" spans="1:11" ht="27.6" x14ac:dyDescent="0.3">
      <c r="A3" s="80"/>
      <c r="B3" s="80" t="s">
        <v>249</v>
      </c>
      <c r="C3" s="80" t="s">
        <v>250</v>
      </c>
      <c r="D3" s="81" t="s">
        <v>121</v>
      </c>
      <c r="E3" s="81" t="s">
        <v>251</v>
      </c>
      <c r="F3" s="80" t="s">
        <v>252</v>
      </c>
      <c r="G3" s="80" t="s">
        <v>81</v>
      </c>
      <c r="H3" s="80" t="s">
        <v>193</v>
      </c>
      <c r="K3" s="80"/>
    </row>
    <row r="4" spans="1:11" x14ac:dyDescent="0.3">
      <c r="A4" s="82" t="s">
        <v>147</v>
      </c>
      <c r="B4">
        <f>'Gross margin calculators'!B4</f>
        <v>1150</v>
      </c>
      <c r="C4" s="4">
        <f>('Gross margin calculators'!B22+'Gross margin calculators'!B25)/2</f>
        <v>603.75</v>
      </c>
      <c r="D4" s="4">
        <f>('Gross margin calculators'!B42+'Gross margin calculators'!B45)/2</f>
        <v>982.47499999999991</v>
      </c>
      <c r="E4" s="4">
        <f>('Gross margin calculators'!B52+'Gross margin calculators'!B57)/2</f>
        <v>826.5</v>
      </c>
      <c r="F4" s="83">
        <f>('Gross margin calculators'!B62+'Gross margin calculators'!B66)/2</f>
        <v>620</v>
      </c>
      <c r="G4" s="4">
        <f>('Gross margin calculators'!B72+'Gross margin calculators'!B78)/2</f>
        <v>1212.5</v>
      </c>
      <c r="H4" s="4">
        <f>'Gross margin calculators'!B83+('Gross margin calculators'!B85*85)</f>
        <v>288.75</v>
      </c>
      <c r="I4" s="84" t="s">
        <v>138</v>
      </c>
    </row>
    <row r="5" spans="1:11" x14ac:dyDescent="0.3">
      <c r="A5" s="82" t="s">
        <v>82</v>
      </c>
      <c r="B5">
        <f t="shared" ref="B5:G5" si="0">B4/1000</f>
        <v>1.1499999999999999</v>
      </c>
      <c r="C5" s="3">
        <f t="shared" si="0"/>
        <v>0.60375000000000001</v>
      </c>
      <c r="D5" s="3">
        <f t="shared" si="0"/>
        <v>0.98247499999999988</v>
      </c>
      <c r="E5" s="3">
        <f t="shared" si="0"/>
        <v>0.82650000000000001</v>
      </c>
      <c r="F5" s="83">
        <f t="shared" si="0"/>
        <v>0.62</v>
      </c>
      <c r="G5" s="3">
        <f t="shared" si="0"/>
        <v>1.2124999999999999</v>
      </c>
      <c r="H5" s="3">
        <f>H4/1000</f>
        <v>0.28875000000000001</v>
      </c>
      <c r="I5" s="84" t="s">
        <v>83</v>
      </c>
    </row>
    <row r="6" spans="1:11" x14ac:dyDescent="0.3">
      <c r="A6" s="82" t="s">
        <v>84</v>
      </c>
      <c r="B6" s="76">
        <f>'Gross margin calculators'!B6</f>
        <v>365</v>
      </c>
      <c r="C6" s="76">
        <f>'Gross margin calculators'!B23</f>
        <v>150</v>
      </c>
      <c r="D6" s="76">
        <f>'Gross margin calculators'!B43</f>
        <v>80</v>
      </c>
      <c r="E6" s="76">
        <f>'Gross margin calculators'!E55</f>
        <v>285</v>
      </c>
      <c r="F6" s="76">
        <f>'Gross margin calculators'!B63</f>
        <v>120</v>
      </c>
      <c r="G6">
        <f>'Gross margin calculators'!B75</f>
        <v>90</v>
      </c>
      <c r="H6" s="4">
        <f>'Gross margin calculators'!E88</f>
        <v>365</v>
      </c>
      <c r="I6" s="84" t="s">
        <v>85</v>
      </c>
    </row>
    <row r="7" spans="1:11" x14ac:dyDescent="0.3">
      <c r="A7" s="82" t="s">
        <v>86</v>
      </c>
      <c r="B7" s="62">
        <v>2.8000000000000001E-2</v>
      </c>
      <c r="C7" s="62">
        <f>0.01925+(0.004214*'Gross margin calculators'!B27)</f>
        <v>2.5992399999999999E-2</v>
      </c>
      <c r="D7" s="62">
        <f>0.01925+(0.004214*'Gross margin calculators'!B48)</f>
        <v>2.80994E-2</v>
      </c>
      <c r="E7" s="62">
        <f>'Gross margin calculators'!E52</f>
        <v>2.4823015E-2</v>
      </c>
      <c r="F7" s="38">
        <f>'Gross margin calculators'!E62</f>
        <v>2.8942200000000001E-2</v>
      </c>
      <c r="G7" s="62">
        <f>'Gross margin calculators'!E72</f>
        <v>3.1365249999999997E-2</v>
      </c>
      <c r="H7" s="62">
        <f>'Gross margin calculators'!E83</f>
        <v>0.03</v>
      </c>
      <c r="I7" s="84" t="s">
        <v>87</v>
      </c>
    </row>
    <row r="8" spans="1:11" x14ac:dyDescent="0.3">
      <c r="A8" s="82" t="s">
        <v>88</v>
      </c>
      <c r="B8">
        <f t="shared" ref="B8:G8" si="1">B7*B4</f>
        <v>32.200000000000003</v>
      </c>
      <c r="C8" s="77">
        <f t="shared" si="1"/>
        <v>15.692911499999999</v>
      </c>
      <c r="D8" s="77">
        <f t="shared" si="1"/>
        <v>27.606958014999996</v>
      </c>
      <c r="E8" s="77">
        <f t="shared" si="1"/>
        <v>20.516221897499999</v>
      </c>
      <c r="F8" s="77">
        <f t="shared" si="1"/>
        <v>17.944164000000001</v>
      </c>
      <c r="G8" s="77">
        <f t="shared" si="1"/>
        <v>38.030365624999995</v>
      </c>
      <c r="H8" s="77">
        <f t="shared" ref="H8" si="2">H7*H4</f>
        <v>8.6624999999999996</v>
      </c>
      <c r="I8" s="84" t="s">
        <v>137</v>
      </c>
    </row>
    <row r="9" spans="1:11" x14ac:dyDescent="0.3">
      <c r="A9" s="82" t="s">
        <v>89</v>
      </c>
      <c r="B9" s="4">
        <f t="shared" ref="B9:G9" si="3">B8*B6</f>
        <v>11753.000000000002</v>
      </c>
      <c r="C9" s="4">
        <f t="shared" si="3"/>
        <v>2353.936725</v>
      </c>
      <c r="D9" s="4">
        <f t="shared" si="3"/>
        <v>2208.5566411999998</v>
      </c>
      <c r="E9" s="4">
        <f t="shared" si="3"/>
        <v>5847.1232407874995</v>
      </c>
      <c r="F9" s="4">
        <f t="shared" si="3"/>
        <v>2153.2996800000001</v>
      </c>
      <c r="G9" s="4">
        <f t="shared" si="3"/>
        <v>3422.7329062499994</v>
      </c>
      <c r="H9" s="4">
        <f t="shared" ref="H9" si="4">H8*H6</f>
        <v>3161.8125</v>
      </c>
      <c r="I9" s="84" t="s">
        <v>137</v>
      </c>
    </row>
    <row r="10" spans="1:11" x14ac:dyDescent="0.3">
      <c r="A10" s="82" t="s">
        <v>90</v>
      </c>
      <c r="B10" s="34">
        <f t="shared" ref="B10:G10" si="5">B9/26</f>
        <v>452.0384615384616</v>
      </c>
      <c r="C10" s="34">
        <f t="shared" si="5"/>
        <v>90.536027884615379</v>
      </c>
      <c r="D10" s="34">
        <f t="shared" si="5"/>
        <v>84.9444862</v>
      </c>
      <c r="E10" s="34">
        <f t="shared" si="5"/>
        <v>224.88935541490383</v>
      </c>
      <c r="F10" s="34">
        <f t="shared" si="5"/>
        <v>82.819218461538469</v>
      </c>
      <c r="G10" s="34">
        <f t="shared" si="5"/>
        <v>131.64357331730767</v>
      </c>
      <c r="H10" s="34">
        <f t="shared" ref="H10" si="6">H9/26</f>
        <v>121.60817307692308</v>
      </c>
      <c r="I10" s="84" t="s">
        <v>91</v>
      </c>
    </row>
    <row r="11" spans="1:11" x14ac:dyDescent="0.3">
      <c r="A11" s="82"/>
      <c r="B11" s="3"/>
      <c r="C11" s="3"/>
      <c r="D11" s="3"/>
      <c r="E11" s="3"/>
      <c r="F11" s="3"/>
      <c r="I11" s="84"/>
    </row>
    <row r="12" spans="1:11" x14ac:dyDescent="0.3">
      <c r="A12" s="82" t="s">
        <v>92</v>
      </c>
      <c r="B12" s="24">
        <f>'Gross margin calculators'!E11</f>
        <v>888.28399999999999</v>
      </c>
      <c r="C12" s="24">
        <f>'Gross margin calculators'!B28</f>
        <v>1116</v>
      </c>
      <c r="D12" s="24">
        <f>'Gross margin calculators'!B49</f>
        <v>2231.1974999999998</v>
      </c>
      <c r="E12" s="12">
        <f>'Gross margin calculators'!B56</f>
        <v>1400</v>
      </c>
      <c r="F12" s="24">
        <f>'Gross margin calculators'!E66</f>
        <v>108</v>
      </c>
      <c r="G12" s="10">
        <f>'Gross margin calculators'!E77</f>
        <v>768.5</v>
      </c>
      <c r="H12" s="21">
        <f>'Gross margin calculators'!E99</f>
        <v>580.75</v>
      </c>
      <c r="I12" s="84" t="s">
        <v>93</v>
      </c>
    </row>
    <row r="13" spans="1:11" x14ac:dyDescent="0.3">
      <c r="A13" s="82" t="s">
        <v>94</v>
      </c>
      <c r="B13" s="24">
        <f>'Gross margin calculators'!E13+'Gross margin calculators'!E14</f>
        <v>700.32349679106323</v>
      </c>
      <c r="C13" s="24">
        <f>'Gross margin calculators'!E25+'Gross margin calculators'!E26</f>
        <v>1022.4</v>
      </c>
      <c r="D13" s="24">
        <f>'Gross margin calculators'!B28+'Gross margin calculators'!E45</f>
        <v>1236</v>
      </c>
      <c r="E13" s="24">
        <f>('Gross margin calculators'!B28*0.9)+'Gross margin calculators'!E56</f>
        <v>1289.4000000000001</v>
      </c>
      <c r="F13" s="24">
        <f>'Gross margin calculators'!E65</f>
        <v>86.399999999999991</v>
      </c>
      <c r="G13" s="10">
        <f>'Gross margin calculators'!B74+'Gross margin calculators'!E75</f>
        <v>684.5</v>
      </c>
      <c r="H13" s="21">
        <f>'Gross margin calculators'!E89+'Gross margin calculators'!E91</f>
        <v>208.03331475897625</v>
      </c>
      <c r="I13" s="84" t="s">
        <v>93</v>
      </c>
    </row>
    <row r="14" spans="1:11" x14ac:dyDescent="0.3">
      <c r="A14" s="85" t="s">
        <v>95</v>
      </c>
      <c r="B14" s="73">
        <f t="shared" ref="B14:G14" si="7">B12-B13</f>
        <v>187.96050320893676</v>
      </c>
      <c r="C14" s="73">
        <f t="shared" si="7"/>
        <v>93.600000000000023</v>
      </c>
      <c r="D14" s="73">
        <f t="shared" si="7"/>
        <v>995.19749999999976</v>
      </c>
      <c r="E14" s="73">
        <f t="shared" si="7"/>
        <v>110.59999999999991</v>
      </c>
      <c r="F14" s="73">
        <f t="shared" si="7"/>
        <v>21.600000000000009</v>
      </c>
      <c r="G14" s="64">
        <f t="shared" si="7"/>
        <v>84</v>
      </c>
      <c r="H14" s="21">
        <f>H12-H13</f>
        <v>372.71668524102375</v>
      </c>
      <c r="I14" s="84" t="s">
        <v>93</v>
      </c>
    </row>
    <row r="15" spans="1:11" x14ac:dyDescent="0.3">
      <c r="A15" s="86" t="s">
        <v>96</v>
      </c>
      <c r="B15" s="78">
        <f t="shared" ref="B15:H15" si="8">(B14/B6)/B5</f>
        <v>0.44779155022974809</v>
      </c>
      <c r="C15" s="78">
        <f t="shared" si="8"/>
        <v>1.0335403726708077</v>
      </c>
      <c r="D15" s="78">
        <f t="shared" si="8"/>
        <v>12.661867986462758</v>
      </c>
      <c r="E15" s="78">
        <f t="shared" si="8"/>
        <v>0.46953439254518592</v>
      </c>
      <c r="F15" s="78">
        <f t="shared" si="8"/>
        <v>0.29032258064516142</v>
      </c>
      <c r="G15" s="78">
        <f t="shared" si="8"/>
        <v>0.76975945017182135</v>
      </c>
      <c r="H15" s="78">
        <f t="shared" si="8"/>
        <v>3.5364211373162426</v>
      </c>
      <c r="I15" s="84" t="s">
        <v>97</v>
      </c>
      <c r="J15" s="25"/>
      <c r="K15" s="25"/>
    </row>
    <row r="16" spans="1:11" ht="15.6" x14ac:dyDescent="0.3">
      <c r="A16" s="114"/>
      <c r="B16" s="114"/>
      <c r="C16" s="114"/>
      <c r="D16" s="114"/>
      <c r="E16" s="114"/>
      <c r="F16" s="114"/>
      <c r="G16" s="114"/>
      <c r="H16" s="114"/>
    </row>
    <row r="17" spans="1:9" ht="63" customHeight="1" x14ac:dyDescent="0.3">
      <c r="A17" s="106" t="s">
        <v>257</v>
      </c>
      <c r="B17" s="106"/>
      <c r="C17" s="106"/>
      <c r="D17" s="106"/>
      <c r="E17" s="106"/>
      <c r="F17" s="106"/>
      <c r="G17" s="106"/>
      <c r="H17" s="106"/>
      <c r="I17" s="106"/>
    </row>
    <row r="18" spans="1:9" s="2" customFormat="1" ht="30.75" customHeight="1" x14ac:dyDescent="0.3">
      <c r="A18" s="2" t="s">
        <v>98</v>
      </c>
      <c r="B18" s="2" t="s">
        <v>99</v>
      </c>
      <c r="C18" s="2" t="s">
        <v>100</v>
      </c>
      <c r="D18" s="2" t="s">
        <v>101</v>
      </c>
      <c r="E18" s="2" t="s">
        <v>124</v>
      </c>
      <c r="F18" s="2" t="s">
        <v>102</v>
      </c>
      <c r="G18" s="2" t="s">
        <v>103</v>
      </c>
      <c r="H18" s="2" t="s">
        <v>104</v>
      </c>
      <c r="I18" s="80" t="s">
        <v>193</v>
      </c>
    </row>
    <row r="19" spans="1:9" ht="15.6" x14ac:dyDescent="0.3">
      <c r="A19" t="str">
        <f>'Grazing Resources'!A3</f>
        <v>Full pivot - Cover crop</v>
      </c>
      <c r="B19" s="79">
        <f>'Grazing Resources'!E3</f>
        <v>0</v>
      </c>
      <c r="C19" s="46">
        <f t="shared" ref="C19" si="9">$B19/B$10</f>
        <v>0</v>
      </c>
      <c r="D19" s="46">
        <f t="shared" ref="D19:E19" si="10">$B19/C$10</f>
        <v>0</v>
      </c>
      <c r="E19" s="46">
        <f t="shared" si="10"/>
        <v>0</v>
      </c>
      <c r="F19" s="46">
        <f t="shared" ref="F19:I19" si="11">$B19/E$10</f>
        <v>0</v>
      </c>
      <c r="G19" s="46">
        <f t="shared" si="11"/>
        <v>0</v>
      </c>
      <c r="H19" s="46">
        <f t="shared" si="11"/>
        <v>0</v>
      </c>
      <c r="I19" s="46">
        <f t="shared" si="11"/>
        <v>0</v>
      </c>
    </row>
    <row r="20" spans="1:9" ht="15.6" x14ac:dyDescent="0.3">
      <c r="A20" t="str">
        <f>'Grazing Resources'!A4</f>
        <v>Full pivot - Perennial pasture</v>
      </c>
      <c r="B20" s="79">
        <f>'Grazing Resources'!E4</f>
        <v>28320</v>
      </c>
      <c r="C20" s="46">
        <f t="shared" ref="C20:C28" si="12">$B20/B$10</f>
        <v>62.649536288607152</v>
      </c>
      <c r="D20" s="46">
        <f t="shared" ref="D20:D28" si="13">$B20/C$10</f>
        <v>312.80365023405631</v>
      </c>
      <c r="E20" s="46">
        <f t="shared" ref="E20:E28" si="14">$B20/D$10</f>
        <v>333.39421152446738</v>
      </c>
      <c r="F20" s="46">
        <f t="shared" ref="F20:F28" si="15">$B20/E$10</f>
        <v>125.92859251942691</v>
      </c>
      <c r="G20" s="46">
        <f t="shared" ref="G20:G28" si="16">$B20/F$10</f>
        <v>341.94961659958074</v>
      </c>
      <c r="H20" s="46">
        <f t="shared" ref="H20:H28" si="17">$B20/G$10</f>
        <v>215.12633914713606</v>
      </c>
      <c r="I20" s="46">
        <f t="shared" ref="I20:I28" si="18">$B20/H$10</f>
        <v>232.87908438593371</v>
      </c>
    </row>
    <row r="21" spans="1:9" ht="15.6" x14ac:dyDescent="0.3">
      <c r="A21" t="str">
        <f>'Grazing Resources'!A5</f>
        <v>PacMan pivot -Cover crop</v>
      </c>
      <c r="B21" s="79">
        <f>'Grazing Resources'!E5</f>
        <v>0</v>
      </c>
      <c r="C21" s="46">
        <f t="shared" si="12"/>
        <v>0</v>
      </c>
      <c r="D21" s="46">
        <f t="shared" si="13"/>
        <v>0</v>
      </c>
      <c r="E21" s="46">
        <f t="shared" si="14"/>
        <v>0</v>
      </c>
      <c r="F21" s="46">
        <f t="shared" si="15"/>
        <v>0</v>
      </c>
      <c r="G21" s="46">
        <f t="shared" si="16"/>
        <v>0</v>
      </c>
      <c r="H21" s="46">
        <f t="shared" si="17"/>
        <v>0</v>
      </c>
      <c r="I21" s="46">
        <f t="shared" si="18"/>
        <v>0</v>
      </c>
    </row>
    <row r="22" spans="1:9" ht="15.6" x14ac:dyDescent="0.3">
      <c r="A22" t="str">
        <f>'Grazing Resources'!A6</f>
        <v>PacMan pivot -Perennial pasture</v>
      </c>
      <c r="B22" s="79">
        <f>'Grazing Resources'!E6</f>
        <v>20640</v>
      </c>
      <c r="C22" s="46">
        <f t="shared" si="12"/>
        <v>45.659831532374703</v>
      </c>
      <c r="D22" s="46">
        <f t="shared" si="13"/>
        <v>227.97554169600716</v>
      </c>
      <c r="E22" s="46">
        <f t="shared" si="14"/>
        <v>242.98222195851011</v>
      </c>
      <c r="F22" s="46">
        <f t="shared" si="15"/>
        <v>91.778465734497587</v>
      </c>
      <c r="G22" s="46">
        <f t="shared" si="16"/>
        <v>249.2175171827453</v>
      </c>
      <c r="H22" s="46">
        <f t="shared" si="17"/>
        <v>156.78699293774324</v>
      </c>
      <c r="I22" s="46">
        <f t="shared" si="18"/>
        <v>169.72543438296861</v>
      </c>
    </row>
    <row r="23" spans="1:9" ht="15.6" x14ac:dyDescent="0.3">
      <c r="A23" t="str">
        <f>'Grazing Resources'!A7</f>
        <v>Flood - full</v>
      </c>
      <c r="B23" s="79">
        <f>'Grazing Resources'!E7</f>
        <v>43500</v>
      </c>
      <c r="C23" s="46">
        <f t="shared" si="12"/>
        <v>96.230749595847854</v>
      </c>
      <c r="D23" s="46">
        <f t="shared" si="13"/>
        <v>480.47170851629414</v>
      </c>
      <c r="E23" s="46">
        <f t="shared" si="14"/>
        <v>512.09915965092978</v>
      </c>
      <c r="F23" s="46">
        <f t="shared" si="15"/>
        <v>193.4284524927638</v>
      </c>
      <c r="G23" s="46">
        <f t="shared" si="16"/>
        <v>525.24040685316959</v>
      </c>
      <c r="H23" s="46">
        <f t="shared" si="17"/>
        <v>330.43770313913905</v>
      </c>
      <c r="I23" s="46">
        <f t="shared" si="18"/>
        <v>357.70622071991932</v>
      </c>
    </row>
    <row r="24" spans="1:9" ht="15.6" x14ac:dyDescent="0.3">
      <c r="A24" t="str">
        <f>'Grazing Resources'!A8</f>
        <v>Flood - marginal</v>
      </c>
      <c r="B24" s="79">
        <f>'Grazing Resources'!E8</f>
        <v>4800</v>
      </c>
      <c r="C24" s="46">
        <f t="shared" si="12"/>
        <v>10.618565472645281</v>
      </c>
      <c r="D24" s="46">
        <f t="shared" si="13"/>
        <v>53.017567836280733</v>
      </c>
      <c r="E24" s="46">
        <f t="shared" si="14"/>
        <v>56.507493478723283</v>
      </c>
      <c r="F24" s="46">
        <f t="shared" si="15"/>
        <v>21.343829240580835</v>
      </c>
      <c r="G24" s="46">
        <f t="shared" si="16"/>
        <v>57.95756213552216</v>
      </c>
      <c r="H24" s="46">
        <f t="shared" si="17"/>
        <v>36.462091380870518</v>
      </c>
      <c r="I24" s="46">
        <f t="shared" si="18"/>
        <v>39.471031251853169</v>
      </c>
    </row>
    <row r="25" spans="1:9" ht="15.6" x14ac:dyDescent="0.3">
      <c r="A25" t="str">
        <f>'Grazing Resources'!A12</f>
        <v>Range - open grass</v>
      </c>
      <c r="B25" s="79">
        <f>'Grazing Resources'!E12</f>
        <v>16222.499999999998</v>
      </c>
      <c r="C25" s="46">
        <f t="shared" si="12"/>
        <v>35.887432995830842</v>
      </c>
      <c r="D25" s="46">
        <f t="shared" si="13"/>
        <v>179.18281129668003</v>
      </c>
      <c r="E25" s="46">
        <f t="shared" si="14"/>
        <v>190.97766936637257</v>
      </c>
      <c r="F25" s="46">
        <f t="shared" si="15"/>
        <v>72.135472886525534</v>
      </c>
      <c r="G25" s="46">
        <f t="shared" si="16"/>
        <v>195.87844827989753</v>
      </c>
      <c r="H25" s="46">
        <f t="shared" si="17"/>
        <v>123.23047446378581</v>
      </c>
      <c r="I25" s="46">
        <f t="shared" si="18"/>
        <v>133.3997509339975</v>
      </c>
    </row>
    <row r="26" spans="1:9" ht="15.6" x14ac:dyDescent="0.3">
      <c r="A26" t="str">
        <f>'Grazing Resources'!A13</f>
        <v>Range - sage dominant</v>
      </c>
      <c r="B26" s="79">
        <f>'Grazing Resources'!E13</f>
        <v>3080</v>
      </c>
      <c r="C26" s="46">
        <f t="shared" si="12"/>
        <v>6.813579511614055</v>
      </c>
      <c r="D26" s="46">
        <f t="shared" si="13"/>
        <v>34.019606028280137</v>
      </c>
      <c r="E26" s="46">
        <f t="shared" si="14"/>
        <v>36.258974982180774</v>
      </c>
      <c r="F26" s="46">
        <f t="shared" si="15"/>
        <v>13.695623762706035</v>
      </c>
      <c r="G26" s="46">
        <f t="shared" si="16"/>
        <v>37.189435703626721</v>
      </c>
      <c r="H26" s="46">
        <f t="shared" si="17"/>
        <v>23.396508636058581</v>
      </c>
      <c r="I26" s="46">
        <f t="shared" si="18"/>
        <v>25.327245053272449</v>
      </c>
    </row>
    <row r="27" spans="1:9" ht="15.6" x14ac:dyDescent="0.3">
      <c r="A27" t="str">
        <f>'Grazing Resources'!A14</f>
        <v>Range - woody cover</v>
      </c>
      <c r="B27" s="79">
        <f>'Grazing Resources'!E14</f>
        <v>1066.8</v>
      </c>
      <c r="C27" s="46">
        <f t="shared" si="12"/>
        <v>2.3599761762954135</v>
      </c>
      <c r="D27" s="46">
        <f t="shared" si="13"/>
        <v>11.783154451613393</v>
      </c>
      <c r="E27" s="46">
        <f t="shared" si="14"/>
        <v>12.558790425646249</v>
      </c>
      <c r="F27" s="46">
        <f t="shared" si="15"/>
        <v>4.7436660487190903</v>
      </c>
      <c r="G27" s="46">
        <f t="shared" si="16"/>
        <v>12.881068184619799</v>
      </c>
      <c r="H27" s="46">
        <f t="shared" si="17"/>
        <v>8.1036998093984725</v>
      </c>
      <c r="I27" s="46">
        <f t="shared" si="18"/>
        <v>8.772436695724366</v>
      </c>
    </row>
    <row r="28" spans="1:9" ht="15.6" x14ac:dyDescent="0.3">
      <c r="A28" t="str">
        <f>'Grazing Resources'!A15</f>
        <v>Forest permit</v>
      </c>
      <c r="B28" s="79">
        <f>'Grazing Resources'!E15</f>
        <v>23160</v>
      </c>
      <c r="C28" s="46">
        <f t="shared" si="12"/>
        <v>51.234578405513481</v>
      </c>
      <c r="D28" s="46">
        <f t="shared" si="13"/>
        <v>255.80976481005453</v>
      </c>
      <c r="E28" s="46">
        <f t="shared" si="14"/>
        <v>272.64865603483986</v>
      </c>
      <c r="F28" s="46">
        <f t="shared" si="15"/>
        <v>102.98397608580252</v>
      </c>
      <c r="G28" s="46">
        <f t="shared" si="16"/>
        <v>279.64523730389442</v>
      </c>
      <c r="H28" s="46">
        <f t="shared" si="17"/>
        <v>175.92959091270023</v>
      </c>
      <c r="I28" s="46">
        <f t="shared" si="18"/>
        <v>190.44772579019153</v>
      </c>
    </row>
    <row r="29" spans="1:9" ht="15.6" x14ac:dyDescent="0.3">
      <c r="B29" s="48">
        <f>SUM(B19:B28)</f>
        <v>140789.29999999999</v>
      </c>
      <c r="C29" s="46"/>
      <c r="D29" s="47"/>
      <c r="E29" s="47"/>
      <c r="F29" s="47"/>
      <c r="G29" s="47"/>
      <c r="H29" s="47"/>
      <c r="I29" s="47"/>
    </row>
    <row r="30" spans="1:9" s="1" customFormat="1" ht="15.6" x14ac:dyDescent="0.3">
      <c r="A30" s="36" t="s">
        <v>105</v>
      </c>
      <c r="B30" s="49"/>
      <c r="C30" s="50">
        <f t="shared" ref="C30:I30" si="19">SUM(C19:C28)</f>
        <v>311.4542499787288</v>
      </c>
      <c r="D30" s="50">
        <f t="shared" si="19"/>
        <v>1555.0638048692665</v>
      </c>
      <c r="E30" s="50">
        <f t="shared" si="19"/>
        <v>1657.42717742167</v>
      </c>
      <c r="F30" s="50">
        <f t="shared" si="19"/>
        <v>626.03807877102224</v>
      </c>
      <c r="G30" s="50">
        <f t="shared" si="19"/>
        <v>1699.9592922430563</v>
      </c>
      <c r="H30" s="50">
        <f t="shared" si="19"/>
        <v>1069.4734004268319</v>
      </c>
      <c r="I30" s="50">
        <f t="shared" si="19"/>
        <v>1157.7289292138605</v>
      </c>
    </row>
    <row r="31" spans="1:9" ht="15.6" x14ac:dyDescent="0.3">
      <c r="A31" s="36" t="s">
        <v>106</v>
      </c>
      <c r="B31" s="47"/>
      <c r="C31" s="51">
        <f t="shared" ref="C31:I31" si="20">C30*B14</f>
        <v>58541.097552563842</v>
      </c>
      <c r="D31" s="51">
        <f t="shared" si="20"/>
        <v>145553.97213576338</v>
      </c>
      <c r="E31" s="51">
        <f t="shared" si="20"/>
        <v>1649467.3834021019</v>
      </c>
      <c r="F31" s="51">
        <f t="shared" si="20"/>
        <v>69239.811512075001</v>
      </c>
      <c r="G31" s="51">
        <f t="shared" si="20"/>
        <v>36719.120712450029</v>
      </c>
      <c r="H31" s="51">
        <f t="shared" si="20"/>
        <v>89835.765635853881</v>
      </c>
      <c r="I31" s="51">
        <f t="shared" si="20"/>
        <v>431504.88890422991</v>
      </c>
    </row>
    <row r="32" spans="1:9" ht="15.6" x14ac:dyDescent="0.3">
      <c r="A32" s="36" t="s">
        <v>107</v>
      </c>
      <c r="B32" s="47"/>
      <c r="C32" s="52">
        <f>C31/'Grazing Resources'!$B$17</f>
        <v>17.940881873295691</v>
      </c>
      <c r="D32" s="52">
        <f>D31/'Grazing Resources'!$B$17</f>
        <v>44.607407948441121</v>
      </c>
      <c r="E32" s="52">
        <f>E31/'Grazing Resources'!$B$17</f>
        <v>505.50640006193748</v>
      </c>
      <c r="F32" s="52">
        <f>F31/'Grazing Resources'!$B$17</f>
        <v>21.219678673636224</v>
      </c>
      <c r="G32" s="52">
        <f>G31/'Grazing Resources'!$B$17</f>
        <v>11.253178275344784</v>
      </c>
      <c r="H32" s="52">
        <f>H31/'Grazing Resources'!$B$17</f>
        <v>27.531647451993223</v>
      </c>
      <c r="I32" s="52">
        <f>I31/'Grazing Resources'!$B$17</f>
        <v>132.24176797555313</v>
      </c>
    </row>
    <row r="33" spans="1:10" ht="49.5" customHeight="1" x14ac:dyDescent="0.3">
      <c r="A33" s="106" t="s">
        <v>108</v>
      </c>
      <c r="B33" s="106"/>
      <c r="C33" s="106"/>
      <c r="D33" s="106"/>
      <c r="E33" s="106"/>
      <c r="F33" s="106"/>
      <c r="G33" s="106"/>
      <c r="H33" s="106"/>
      <c r="I33" s="106"/>
    </row>
    <row r="34" spans="1:10" ht="33" customHeight="1" x14ac:dyDescent="0.3">
      <c r="A34" s="2" t="s">
        <v>98</v>
      </c>
      <c r="B34" s="2" t="s">
        <v>99</v>
      </c>
      <c r="C34" s="2" t="s">
        <v>109</v>
      </c>
      <c r="D34" s="2" t="s">
        <v>110</v>
      </c>
      <c r="E34" s="2" t="s">
        <v>125</v>
      </c>
      <c r="F34" s="2" t="s">
        <v>111</v>
      </c>
      <c r="G34" s="2" t="s">
        <v>112</v>
      </c>
      <c r="H34" s="2" t="s">
        <v>113</v>
      </c>
      <c r="I34" s="2" t="s">
        <v>196</v>
      </c>
      <c r="J34" s="2" t="s">
        <v>122</v>
      </c>
    </row>
    <row r="35" spans="1:10" ht="15.6" x14ac:dyDescent="0.3">
      <c r="A35" t="str">
        <f t="shared" ref="A35:B44" si="21">A19</f>
        <v>Full pivot - Cover crop</v>
      </c>
      <c r="B35" s="53">
        <f t="shared" si="21"/>
        <v>0</v>
      </c>
      <c r="C35" s="54">
        <v>0</v>
      </c>
      <c r="D35" s="54">
        <v>0</v>
      </c>
      <c r="E35" s="54">
        <v>0</v>
      </c>
      <c r="F35" s="54">
        <v>0</v>
      </c>
      <c r="G35" s="54">
        <v>0</v>
      </c>
      <c r="H35" s="54">
        <v>0</v>
      </c>
      <c r="I35" s="54">
        <v>0</v>
      </c>
      <c r="J35" s="55">
        <f>SUM(C35:I35)</f>
        <v>0</v>
      </c>
    </row>
    <row r="36" spans="1:10" ht="15.6" x14ac:dyDescent="0.3">
      <c r="A36" t="str">
        <f t="shared" si="21"/>
        <v>Full pivot - Perennial pasture</v>
      </c>
      <c r="B36" s="53">
        <f t="shared" si="21"/>
        <v>28320</v>
      </c>
      <c r="C36" s="54">
        <v>0.6</v>
      </c>
      <c r="D36" s="54">
        <v>0.2</v>
      </c>
      <c r="E36" s="54">
        <v>0</v>
      </c>
      <c r="F36" s="54">
        <v>0.2</v>
      </c>
      <c r="G36" s="54">
        <v>0</v>
      </c>
      <c r="H36" s="54">
        <v>0</v>
      </c>
      <c r="I36" s="54">
        <v>0</v>
      </c>
      <c r="J36" s="55">
        <f t="shared" ref="J36:J44" si="22">SUM(C36:I36)</f>
        <v>1</v>
      </c>
    </row>
    <row r="37" spans="1:10" ht="15.6" x14ac:dyDescent="0.3">
      <c r="A37" t="str">
        <f t="shared" si="21"/>
        <v>PacMan pivot -Cover crop</v>
      </c>
      <c r="B37" s="53">
        <f t="shared" si="21"/>
        <v>0</v>
      </c>
      <c r="C37" s="54">
        <v>0</v>
      </c>
      <c r="D37" s="54">
        <v>0</v>
      </c>
      <c r="E37" s="54">
        <v>0</v>
      </c>
      <c r="F37" s="54">
        <v>0</v>
      </c>
      <c r="G37" s="54">
        <v>0</v>
      </c>
      <c r="H37" s="54">
        <v>0</v>
      </c>
      <c r="I37" s="54">
        <v>0</v>
      </c>
      <c r="J37" s="55">
        <f t="shared" si="22"/>
        <v>0</v>
      </c>
    </row>
    <row r="38" spans="1:10" ht="15.6" x14ac:dyDescent="0.3">
      <c r="A38" t="str">
        <f t="shared" si="21"/>
        <v>PacMan pivot -Perennial pasture</v>
      </c>
      <c r="B38" s="53">
        <f t="shared" si="21"/>
        <v>20640</v>
      </c>
      <c r="C38" s="54">
        <v>0.6</v>
      </c>
      <c r="D38" s="54">
        <v>0.2</v>
      </c>
      <c r="E38" s="54">
        <v>0</v>
      </c>
      <c r="F38" s="54">
        <v>0.2</v>
      </c>
      <c r="G38" s="54">
        <v>0</v>
      </c>
      <c r="H38" s="54">
        <v>0</v>
      </c>
      <c r="I38" s="54">
        <v>0</v>
      </c>
      <c r="J38" s="55">
        <f t="shared" si="22"/>
        <v>1</v>
      </c>
    </row>
    <row r="39" spans="1:10" ht="15.6" x14ac:dyDescent="0.3">
      <c r="A39" t="str">
        <f t="shared" si="21"/>
        <v>Flood - full</v>
      </c>
      <c r="B39" s="53">
        <f t="shared" si="21"/>
        <v>43500</v>
      </c>
      <c r="C39" s="54">
        <v>0.6</v>
      </c>
      <c r="D39" s="54">
        <v>0.2</v>
      </c>
      <c r="E39" s="54">
        <v>0</v>
      </c>
      <c r="F39" s="54">
        <v>0.2</v>
      </c>
      <c r="G39" s="54">
        <v>0</v>
      </c>
      <c r="H39" s="54">
        <v>0</v>
      </c>
      <c r="I39" s="54">
        <v>0</v>
      </c>
      <c r="J39" s="55">
        <f t="shared" si="22"/>
        <v>1</v>
      </c>
    </row>
    <row r="40" spans="1:10" ht="15.6" x14ac:dyDescent="0.3">
      <c r="A40" t="str">
        <f t="shared" si="21"/>
        <v>Flood - marginal</v>
      </c>
      <c r="B40" s="53">
        <f t="shared" si="21"/>
        <v>4800</v>
      </c>
      <c r="C40" s="54">
        <v>1</v>
      </c>
      <c r="D40" s="54">
        <v>0</v>
      </c>
      <c r="E40" s="54">
        <v>0</v>
      </c>
      <c r="F40" s="54">
        <v>0</v>
      </c>
      <c r="G40" s="54">
        <v>0</v>
      </c>
      <c r="H40" s="54">
        <v>0</v>
      </c>
      <c r="I40" s="54">
        <v>0</v>
      </c>
      <c r="J40" s="55">
        <f t="shared" si="22"/>
        <v>1</v>
      </c>
    </row>
    <row r="41" spans="1:10" ht="15.6" x14ac:dyDescent="0.3">
      <c r="A41" t="str">
        <f t="shared" si="21"/>
        <v>Range - open grass</v>
      </c>
      <c r="B41" s="53">
        <f t="shared" si="21"/>
        <v>16222.499999999998</v>
      </c>
      <c r="C41" s="54">
        <v>1</v>
      </c>
      <c r="D41" s="54">
        <v>0</v>
      </c>
      <c r="E41" s="54">
        <v>0</v>
      </c>
      <c r="F41" s="54"/>
      <c r="G41" s="54">
        <v>0</v>
      </c>
      <c r="H41" s="54">
        <v>0</v>
      </c>
      <c r="I41" s="54">
        <v>0</v>
      </c>
      <c r="J41" s="55">
        <f t="shared" si="22"/>
        <v>1</v>
      </c>
    </row>
    <row r="42" spans="1:10" ht="15.6" x14ac:dyDescent="0.3">
      <c r="A42" t="str">
        <f t="shared" si="21"/>
        <v>Range - sage dominant</v>
      </c>
      <c r="B42" s="53">
        <f t="shared" si="21"/>
        <v>3080</v>
      </c>
      <c r="C42" s="54">
        <v>1</v>
      </c>
      <c r="D42" s="54">
        <v>0</v>
      </c>
      <c r="E42" s="54">
        <v>0</v>
      </c>
      <c r="F42" s="54"/>
      <c r="G42" s="54">
        <v>0</v>
      </c>
      <c r="H42" s="54">
        <v>0</v>
      </c>
      <c r="I42" s="54">
        <v>0</v>
      </c>
      <c r="J42" s="55">
        <f t="shared" si="22"/>
        <v>1</v>
      </c>
    </row>
    <row r="43" spans="1:10" ht="15.6" x14ac:dyDescent="0.3">
      <c r="A43" t="str">
        <f t="shared" si="21"/>
        <v>Range - woody cover</v>
      </c>
      <c r="B43" s="53">
        <f t="shared" si="21"/>
        <v>1066.8</v>
      </c>
      <c r="C43" s="54">
        <v>1</v>
      </c>
      <c r="D43" s="54">
        <v>0</v>
      </c>
      <c r="E43" s="54">
        <v>0</v>
      </c>
      <c r="F43" s="54"/>
      <c r="G43" s="54">
        <v>0</v>
      </c>
      <c r="H43" s="54">
        <v>0</v>
      </c>
      <c r="I43" s="54">
        <v>0</v>
      </c>
      <c r="J43" s="55">
        <f t="shared" si="22"/>
        <v>1</v>
      </c>
    </row>
    <row r="44" spans="1:10" ht="15.6" x14ac:dyDescent="0.3">
      <c r="A44" t="str">
        <f t="shared" si="21"/>
        <v>Forest permit</v>
      </c>
      <c r="B44" s="53">
        <f t="shared" si="21"/>
        <v>23160</v>
      </c>
      <c r="C44" s="54">
        <v>1</v>
      </c>
      <c r="D44" s="54">
        <v>0</v>
      </c>
      <c r="E44" s="54">
        <v>0</v>
      </c>
      <c r="F44" s="54">
        <v>0</v>
      </c>
      <c r="G44" s="54">
        <v>0</v>
      </c>
      <c r="H44" s="54">
        <v>0</v>
      </c>
      <c r="I44" s="54">
        <v>0</v>
      </c>
      <c r="J44" s="55">
        <f t="shared" si="22"/>
        <v>1</v>
      </c>
    </row>
    <row r="45" spans="1:10" ht="15.75" customHeight="1" x14ac:dyDescent="0.3">
      <c r="A45" s="7"/>
      <c r="B45" s="56"/>
      <c r="C45" s="115" t="s">
        <v>123</v>
      </c>
      <c r="D45" s="115"/>
      <c r="E45" s="115"/>
      <c r="F45" s="115"/>
      <c r="G45" s="115"/>
      <c r="H45" s="115"/>
      <c r="I45" s="54"/>
    </row>
    <row r="46" spans="1:10" ht="15.6" x14ac:dyDescent="0.3">
      <c r="A46" t="str">
        <f t="shared" ref="A46:A55" si="23">A35</f>
        <v>Full pivot - Cover crop</v>
      </c>
      <c r="B46" s="57">
        <f>SUM(C46:H46)</f>
        <v>0</v>
      </c>
      <c r="C46" s="46">
        <f t="shared" ref="C46:C55" si="24">$B35*$C35</f>
        <v>0</v>
      </c>
      <c r="D46" s="46">
        <f t="shared" ref="D46:D55" si="25">$B35*$D35</f>
        <v>0</v>
      </c>
      <c r="E46" s="46">
        <f t="shared" ref="E46:E55" si="26">$B35*$E35</f>
        <v>0</v>
      </c>
      <c r="F46" s="46">
        <f t="shared" ref="F46:F55" si="27">$B35*$F35</f>
        <v>0</v>
      </c>
      <c r="G46" s="46">
        <f t="shared" ref="G46:G55" si="28">$B35*$G35</f>
        <v>0</v>
      </c>
      <c r="H46" s="46">
        <f t="shared" ref="H46:H55" si="29">$B35*$H35</f>
        <v>0</v>
      </c>
      <c r="I46" s="46">
        <f t="shared" ref="I46:I55" si="30">$B35*$I35</f>
        <v>0</v>
      </c>
    </row>
    <row r="47" spans="1:10" ht="15.6" x14ac:dyDescent="0.3">
      <c r="A47" t="str">
        <f t="shared" si="23"/>
        <v>Full pivot - Perennial pasture</v>
      </c>
      <c r="B47" s="57">
        <f t="shared" ref="B47:B55" si="31">SUM(C47:H47)</f>
        <v>28320</v>
      </c>
      <c r="C47" s="46">
        <f t="shared" si="24"/>
        <v>16992</v>
      </c>
      <c r="D47" s="46">
        <f t="shared" si="25"/>
        <v>5664</v>
      </c>
      <c r="E47" s="46">
        <f t="shared" si="26"/>
        <v>0</v>
      </c>
      <c r="F47" s="46">
        <f t="shared" si="27"/>
        <v>5664</v>
      </c>
      <c r="G47" s="46">
        <f t="shared" si="28"/>
        <v>0</v>
      </c>
      <c r="H47" s="46">
        <f t="shared" si="29"/>
        <v>0</v>
      </c>
      <c r="I47" s="46">
        <f t="shared" si="30"/>
        <v>0</v>
      </c>
    </row>
    <row r="48" spans="1:10" ht="15.6" x14ac:dyDescent="0.3">
      <c r="A48" t="str">
        <f t="shared" si="23"/>
        <v>PacMan pivot -Cover crop</v>
      </c>
      <c r="B48" s="57">
        <f t="shared" si="31"/>
        <v>0</v>
      </c>
      <c r="C48" s="46">
        <f t="shared" si="24"/>
        <v>0</v>
      </c>
      <c r="D48" s="46">
        <f t="shared" si="25"/>
        <v>0</v>
      </c>
      <c r="E48" s="46">
        <f t="shared" si="26"/>
        <v>0</v>
      </c>
      <c r="F48" s="46">
        <f t="shared" si="27"/>
        <v>0</v>
      </c>
      <c r="G48" s="46">
        <f t="shared" si="28"/>
        <v>0</v>
      </c>
      <c r="H48" s="46">
        <f t="shared" si="29"/>
        <v>0</v>
      </c>
      <c r="I48" s="46">
        <f t="shared" si="30"/>
        <v>0</v>
      </c>
    </row>
    <row r="49" spans="1:10" ht="15.6" x14ac:dyDescent="0.3">
      <c r="A49" t="str">
        <f t="shared" si="23"/>
        <v>PacMan pivot -Perennial pasture</v>
      </c>
      <c r="B49" s="57">
        <f t="shared" si="31"/>
        <v>20640</v>
      </c>
      <c r="C49" s="46">
        <f t="shared" si="24"/>
        <v>12384</v>
      </c>
      <c r="D49" s="46">
        <f t="shared" si="25"/>
        <v>4128</v>
      </c>
      <c r="E49" s="46">
        <f t="shared" si="26"/>
        <v>0</v>
      </c>
      <c r="F49" s="46">
        <f t="shared" si="27"/>
        <v>4128</v>
      </c>
      <c r="G49" s="46">
        <f t="shared" si="28"/>
        <v>0</v>
      </c>
      <c r="H49" s="46">
        <f t="shared" si="29"/>
        <v>0</v>
      </c>
      <c r="I49" s="46">
        <f t="shared" si="30"/>
        <v>0</v>
      </c>
    </row>
    <row r="50" spans="1:10" ht="15.6" x14ac:dyDescent="0.3">
      <c r="A50" t="str">
        <f t="shared" si="23"/>
        <v>Flood - full</v>
      </c>
      <c r="B50" s="57">
        <f t="shared" si="31"/>
        <v>43500</v>
      </c>
      <c r="C50" s="46">
        <f t="shared" si="24"/>
        <v>26100</v>
      </c>
      <c r="D50" s="46">
        <f t="shared" si="25"/>
        <v>8700</v>
      </c>
      <c r="E50" s="46">
        <f t="shared" si="26"/>
        <v>0</v>
      </c>
      <c r="F50" s="46">
        <f t="shared" si="27"/>
        <v>8700</v>
      </c>
      <c r="G50" s="46">
        <f t="shared" si="28"/>
        <v>0</v>
      </c>
      <c r="H50" s="46">
        <f t="shared" si="29"/>
        <v>0</v>
      </c>
      <c r="I50" s="46">
        <f t="shared" si="30"/>
        <v>0</v>
      </c>
    </row>
    <row r="51" spans="1:10" ht="15.6" x14ac:dyDescent="0.3">
      <c r="A51" t="str">
        <f t="shared" si="23"/>
        <v>Flood - marginal</v>
      </c>
      <c r="B51" s="57">
        <f t="shared" si="31"/>
        <v>4800</v>
      </c>
      <c r="C51" s="46">
        <f t="shared" si="24"/>
        <v>4800</v>
      </c>
      <c r="D51" s="46">
        <f t="shared" si="25"/>
        <v>0</v>
      </c>
      <c r="E51" s="46">
        <f t="shared" si="26"/>
        <v>0</v>
      </c>
      <c r="F51" s="46">
        <f t="shared" si="27"/>
        <v>0</v>
      </c>
      <c r="G51" s="46">
        <f t="shared" si="28"/>
        <v>0</v>
      </c>
      <c r="H51" s="46">
        <f t="shared" si="29"/>
        <v>0</v>
      </c>
      <c r="I51" s="46">
        <f t="shared" si="30"/>
        <v>0</v>
      </c>
    </row>
    <row r="52" spans="1:10" ht="15.6" x14ac:dyDescent="0.3">
      <c r="A52" t="str">
        <f t="shared" si="23"/>
        <v>Range - open grass</v>
      </c>
      <c r="B52" s="57">
        <f t="shared" si="31"/>
        <v>16222.499999999998</v>
      </c>
      <c r="C52" s="46">
        <f t="shared" si="24"/>
        <v>16222.499999999998</v>
      </c>
      <c r="D52" s="46">
        <f t="shared" si="25"/>
        <v>0</v>
      </c>
      <c r="E52" s="46">
        <f t="shared" si="26"/>
        <v>0</v>
      </c>
      <c r="F52" s="46">
        <f t="shared" si="27"/>
        <v>0</v>
      </c>
      <c r="G52" s="46">
        <f t="shared" si="28"/>
        <v>0</v>
      </c>
      <c r="H52" s="46">
        <f t="shared" si="29"/>
        <v>0</v>
      </c>
      <c r="I52" s="46">
        <f t="shared" si="30"/>
        <v>0</v>
      </c>
    </row>
    <row r="53" spans="1:10" ht="15.6" x14ac:dyDescent="0.3">
      <c r="A53" t="str">
        <f t="shared" si="23"/>
        <v>Range - sage dominant</v>
      </c>
      <c r="B53" s="57">
        <f t="shared" si="31"/>
        <v>3080</v>
      </c>
      <c r="C53" s="46">
        <f t="shared" si="24"/>
        <v>3080</v>
      </c>
      <c r="D53" s="46">
        <f t="shared" si="25"/>
        <v>0</v>
      </c>
      <c r="E53" s="46">
        <f t="shared" si="26"/>
        <v>0</v>
      </c>
      <c r="F53" s="46">
        <f t="shared" si="27"/>
        <v>0</v>
      </c>
      <c r="G53" s="46">
        <f t="shared" si="28"/>
        <v>0</v>
      </c>
      <c r="H53" s="46">
        <f t="shared" si="29"/>
        <v>0</v>
      </c>
      <c r="I53" s="46">
        <f t="shared" si="30"/>
        <v>0</v>
      </c>
    </row>
    <row r="54" spans="1:10" ht="15.6" x14ac:dyDescent="0.3">
      <c r="A54" t="str">
        <f t="shared" si="23"/>
        <v>Range - woody cover</v>
      </c>
      <c r="B54" s="57">
        <f t="shared" si="31"/>
        <v>1066.8</v>
      </c>
      <c r="C54" s="46">
        <f t="shared" si="24"/>
        <v>1066.8</v>
      </c>
      <c r="D54" s="46">
        <f t="shared" si="25"/>
        <v>0</v>
      </c>
      <c r="E54" s="46">
        <f t="shared" si="26"/>
        <v>0</v>
      </c>
      <c r="F54" s="46">
        <f t="shared" si="27"/>
        <v>0</v>
      </c>
      <c r="G54" s="46">
        <f t="shared" si="28"/>
        <v>0</v>
      </c>
      <c r="H54" s="46">
        <f t="shared" si="29"/>
        <v>0</v>
      </c>
      <c r="I54" s="46">
        <f t="shared" si="30"/>
        <v>0</v>
      </c>
    </row>
    <row r="55" spans="1:10" ht="15.6" x14ac:dyDescent="0.3">
      <c r="A55" t="str">
        <f t="shared" si="23"/>
        <v>Forest permit</v>
      </c>
      <c r="B55" s="57">
        <f t="shared" si="31"/>
        <v>23160</v>
      </c>
      <c r="C55" s="46">
        <f t="shared" si="24"/>
        <v>23160</v>
      </c>
      <c r="D55" s="46">
        <f t="shared" si="25"/>
        <v>0</v>
      </c>
      <c r="E55" s="46">
        <f t="shared" si="26"/>
        <v>0</v>
      </c>
      <c r="F55" s="46">
        <f t="shared" si="27"/>
        <v>0</v>
      </c>
      <c r="G55" s="46">
        <f t="shared" si="28"/>
        <v>0</v>
      </c>
      <c r="H55" s="46">
        <f t="shared" si="29"/>
        <v>0</v>
      </c>
      <c r="I55" s="46">
        <f t="shared" si="30"/>
        <v>0</v>
      </c>
    </row>
    <row r="56" spans="1:10" ht="33" customHeight="1" x14ac:dyDescent="0.3">
      <c r="A56" s="106" t="s">
        <v>114</v>
      </c>
      <c r="B56" s="106"/>
      <c r="C56" s="106"/>
      <c r="D56" s="106"/>
      <c r="E56" s="106"/>
      <c r="F56" s="106"/>
      <c r="G56" s="106"/>
      <c r="H56" s="106"/>
      <c r="I56" s="106"/>
    </row>
    <row r="57" spans="1:10" ht="33" customHeight="1" x14ac:dyDescent="0.3">
      <c r="A57" s="67"/>
      <c r="B57" s="67"/>
      <c r="C57" s="87" t="s">
        <v>253</v>
      </c>
      <c r="D57" s="87" t="s">
        <v>254</v>
      </c>
      <c r="E57" s="88" t="s">
        <v>121</v>
      </c>
      <c r="F57" s="88" t="s">
        <v>255</v>
      </c>
      <c r="G57" s="87" t="s">
        <v>256</v>
      </c>
      <c r="H57" s="87" t="s">
        <v>81</v>
      </c>
      <c r="I57" s="87" t="s">
        <v>193</v>
      </c>
      <c r="J57" s="87" t="s">
        <v>258</v>
      </c>
    </row>
    <row r="58" spans="1:10" ht="15.6" x14ac:dyDescent="0.3">
      <c r="A58" s="103" t="s">
        <v>115</v>
      </c>
      <c r="B58" s="103"/>
      <c r="C58" s="50">
        <f t="shared" ref="C58:I58" si="32">SUM(C46:C55)</f>
        <v>103805.3</v>
      </c>
      <c r="D58" s="50">
        <f t="shared" si="32"/>
        <v>18492</v>
      </c>
      <c r="E58" s="50">
        <f t="shared" si="32"/>
        <v>0</v>
      </c>
      <c r="F58" s="50">
        <f t="shared" si="32"/>
        <v>18492</v>
      </c>
      <c r="G58" s="50">
        <f t="shared" si="32"/>
        <v>0</v>
      </c>
      <c r="H58" s="50">
        <f t="shared" si="32"/>
        <v>0</v>
      </c>
      <c r="I58" s="50">
        <f t="shared" si="32"/>
        <v>0</v>
      </c>
      <c r="J58" s="50">
        <f>SUM(C58:I58)</f>
        <v>140789.29999999999</v>
      </c>
    </row>
    <row r="59" spans="1:10" ht="15.6" x14ac:dyDescent="0.3">
      <c r="A59" s="103" t="s">
        <v>116</v>
      </c>
      <c r="B59" s="103"/>
      <c r="C59" s="50">
        <f t="shared" ref="C59:I59" si="33">C58/B10</f>
        <v>229.63820301199692</v>
      </c>
      <c r="D59" s="50">
        <f t="shared" si="33"/>
        <v>204.25018008927154</v>
      </c>
      <c r="E59" s="50">
        <f t="shared" si="33"/>
        <v>0</v>
      </c>
      <c r="F59" s="50">
        <f t="shared" si="33"/>
        <v>82.227102149337654</v>
      </c>
      <c r="G59" s="50">
        <f t="shared" si="33"/>
        <v>0</v>
      </c>
      <c r="H59" s="50">
        <f t="shared" si="33"/>
        <v>0</v>
      </c>
      <c r="I59" s="50">
        <f t="shared" si="33"/>
        <v>0</v>
      </c>
      <c r="J59" s="47"/>
    </row>
    <row r="60" spans="1:10" s="25" customFormat="1" ht="15.6" x14ac:dyDescent="0.3">
      <c r="A60" s="113" t="s">
        <v>117</v>
      </c>
      <c r="B60" s="113"/>
      <c r="C60" s="58">
        <f t="shared" ref="C60:I60" si="34">C59*B14</f>
        <v>43162.91219413092</v>
      </c>
      <c r="D60" s="58">
        <f t="shared" si="34"/>
        <v>19117.816856355821</v>
      </c>
      <c r="E60" s="58">
        <f t="shared" si="34"/>
        <v>0</v>
      </c>
      <c r="F60" s="58">
        <f t="shared" si="34"/>
        <v>9094.3174977167364</v>
      </c>
      <c r="G60" s="58">
        <f t="shared" si="34"/>
        <v>0</v>
      </c>
      <c r="H60" s="58">
        <f t="shared" si="34"/>
        <v>0</v>
      </c>
      <c r="I60" s="58">
        <f t="shared" si="34"/>
        <v>0</v>
      </c>
      <c r="J60" s="51">
        <f>SUM(C60:I60)</f>
        <v>71375.046548203478</v>
      </c>
    </row>
    <row r="61" spans="1:10" ht="15.6" x14ac:dyDescent="0.3">
      <c r="A61" s="103" t="s">
        <v>118</v>
      </c>
      <c r="B61" s="103"/>
      <c r="C61" s="59">
        <f t="shared" ref="C61:I61" si="35">C58/$J$58</f>
        <v>0.73730958247537282</v>
      </c>
      <c r="D61" s="59">
        <f t="shared" si="35"/>
        <v>0.13134520876231362</v>
      </c>
      <c r="E61" s="59">
        <f t="shared" si="35"/>
        <v>0</v>
      </c>
      <c r="F61" s="59">
        <f t="shared" si="35"/>
        <v>0.13134520876231362</v>
      </c>
      <c r="G61" s="59">
        <f t="shared" si="35"/>
        <v>0</v>
      </c>
      <c r="H61" s="59">
        <f t="shared" si="35"/>
        <v>0</v>
      </c>
      <c r="I61" s="59">
        <f t="shared" si="35"/>
        <v>0</v>
      </c>
      <c r="J61" s="60">
        <f>SUM(C61:I61)</f>
        <v>1</v>
      </c>
    </row>
    <row r="62" spans="1:10" ht="15.6" x14ac:dyDescent="0.3">
      <c r="A62" s="103" t="s">
        <v>119</v>
      </c>
      <c r="B62" s="103"/>
      <c r="C62" s="61">
        <f t="shared" ref="C62:I62" si="36">C60/$J$60</f>
        <v>0.60473392707324736</v>
      </c>
      <c r="D62" s="61">
        <f t="shared" si="36"/>
        <v>0.26785014904956334</v>
      </c>
      <c r="E62" s="61">
        <f t="shared" si="36"/>
        <v>0</v>
      </c>
      <c r="F62" s="61">
        <f t="shared" si="36"/>
        <v>0.12741592387718928</v>
      </c>
      <c r="G62" s="61">
        <f t="shared" si="36"/>
        <v>0</v>
      </c>
      <c r="H62" s="61">
        <f t="shared" si="36"/>
        <v>0</v>
      </c>
      <c r="I62" s="61">
        <f t="shared" si="36"/>
        <v>0</v>
      </c>
      <c r="J62" s="60">
        <f>SUM(C62:I62)</f>
        <v>1</v>
      </c>
    </row>
    <row r="63" spans="1:10" x14ac:dyDescent="0.3">
      <c r="A63" s="103" t="s">
        <v>194</v>
      </c>
      <c r="B63" s="103"/>
      <c r="C63" s="64">
        <f>'Ranch Overheads'!$B$19*'Stock policy'!C61</f>
        <v>116421.18307286137</v>
      </c>
      <c r="D63" s="64">
        <f>'Ranch Overheads'!$B$19*'Stock policy'!D61</f>
        <v>20739.408463569322</v>
      </c>
      <c r="E63" s="64">
        <f>'Ranch Overheads'!$B$19*'Stock policy'!E61</f>
        <v>0</v>
      </c>
      <c r="F63" s="64">
        <f>'Ranch Overheads'!$B$19*'Stock policy'!F61</f>
        <v>20739.408463569322</v>
      </c>
      <c r="G63" s="64">
        <f>'Ranch Overheads'!$B$19*'Stock policy'!G61</f>
        <v>0</v>
      </c>
      <c r="H63" s="64">
        <f>'Ranch Overheads'!$B$19*'Stock policy'!H61</f>
        <v>0</v>
      </c>
      <c r="I63" s="64">
        <f>'Ranch Overheads'!$B$19*'Stock policy'!I61</f>
        <v>0</v>
      </c>
      <c r="J63" s="64">
        <f>SUM(C63:I63)</f>
        <v>157900.00000000003</v>
      </c>
    </row>
    <row r="64" spans="1:10" x14ac:dyDescent="0.3">
      <c r="A64" s="113" t="s">
        <v>195</v>
      </c>
      <c r="B64" s="113"/>
      <c r="C64" s="65">
        <f>C60-C63</f>
        <v>-73258.270878730458</v>
      </c>
      <c r="D64" s="65">
        <f t="shared" ref="D64:H64" si="37">D60-D63</f>
        <v>-1621.5916072135005</v>
      </c>
      <c r="E64" s="65">
        <f t="shared" si="37"/>
        <v>0</v>
      </c>
      <c r="F64" s="65">
        <f t="shared" si="37"/>
        <v>-11645.090965852585</v>
      </c>
      <c r="G64" s="65">
        <f t="shared" si="37"/>
        <v>0</v>
      </c>
      <c r="H64" s="65">
        <f t="shared" si="37"/>
        <v>0</v>
      </c>
      <c r="I64" s="65">
        <f t="shared" ref="I64" si="38">I60-I63</f>
        <v>0</v>
      </c>
      <c r="J64" s="65">
        <f>J60-J63</f>
        <v>-86524.953451796551</v>
      </c>
    </row>
  </sheetData>
  <mergeCells count="14">
    <mergeCell ref="A1:I1"/>
    <mergeCell ref="A2:I2"/>
    <mergeCell ref="A63:B63"/>
    <mergeCell ref="A64:B64"/>
    <mergeCell ref="A16:H16"/>
    <mergeCell ref="A17:I17"/>
    <mergeCell ref="A33:I33"/>
    <mergeCell ref="A56:I56"/>
    <mergeCell ref="C45:H45"/>
    <mergeCell ref="A58:B58"/>
    <mergeCell ref="A59:B59"/>
    <mergeCell ref="A60:B60"/>
    <mergeCell ref="A61:B61"/>
    <mergeCell ref="A62:B6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Grazing Resources</vt:lpstr>
      <vt:lpstr>Gross margin calculators</vt:lpstr>
      <vt:lpstr>Ranch Overheads</vt:lpstr>
      <vt:lpstr>Stock 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Jim Gerrish</cp:lastModifiedBy>
  <dcterms:created xsi:type="dcterms:W3CDTF">2016-04-25T19:30:56Z</dcterms:created>
  <dcterms:modified xsi:type="dcterms:W3CDTF">2024-01-25T21:10:57Z</dcterms:modified>
</cp:coreProperties>
</file>