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AGLS\Spreadsheets\"/>
    </mc:Choice>
  </mc:AlternateContent>
  <xr:revisionPtr revIDLastSave="0" documentId="13_ncr:1_{7928F060-8F59-4022-8647-951FCB1C57C5}" xr6:coauthVersionLast="47" xr6:coauthVersionMax="47" xr10:uidLastSave="{00000000-0000-0000-0000-000000000000}"/>
  <bookViews>
    <workbookView xWindow="-108" yWindow="-108" windowWidth="23256" windowHeight="12456" activeTab="1" xr2:uid="{B2C1C9D9-E1C3-4004-A704-90B44A27FD07}"/>
  </bookViews>
  <sheets>
    <sheet name="Cow-Calf" sheetId="2" r:id="rId1"/>
    <sheet name="Yearling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27" i="1" l="1"/>
  <c r="B4" i="1"/>
  <c r="B34" i="2"/>
  <c r="B39" i="2"/>
  <c r="B18" i="2"/>
  <c r="B28" i="2"/>
  <c r="B29" i="2" s="1"/>
  <c r="B35" i="2"/>
  <c r="B26" i="2"/>
  <c r="B23" i="2"/>
  <c r="B24" i="2" s="1"/>
  <c r="B22" i="2"/>
  <c r="B17" i="2"/>
  <c r="B15" i="2"/>
  <c r="B16" i="2" s="1"/>
  <c r="B12" i="2"/>
  <c r="B7" i="2"/>
  <c r="B8" i="2" s="1"/>
  <c r="B9" i="2" s="1"/>
  <c r="B19" i="2" l="1"/>
  <c r="B30" i="2"/>
  <c r="B31" i="2" s="1"/>
  <c r="B38" i="2" l="1"/>
  <c r="B40" i="2"/>
  <c r="B41" i="2" s="1"/>
  <c r="B20" i="1" l="1"/>
  <c r="B16" i="1"/>
  <c r="B8" i="1" l="1"/>
  <c r="F3" i="1"/>
  <c r="F7" i="1" s="1"/>
  <c r="F20" i="1" l="1"/>
  <c r="F29" i="1"/>
  <c r="B9" i="1" l="1"/>
  <c r="B10" i="1" s="1"/>
  <c r="B12" i="1" s="1"/>
  <c r="B29" i="1" l="1"/>
  <c r="F2" i="1"/>
  <c r="B13" i="1"/>
  <c r="B17" i="1" s="1"/>
  <c r="F4" i="1"/>
  <c r="F8" i="1" s="1"/>
  <c r="F23" i="1" s="1"/>
  <c r="F24" i="1" s="1"/>
  <c r="B18" i="1" l="1"/>
  <c r="B22" i="1" s="1"/>
  <c r="B23" i="1"/>
  <c r="B25" i="1" s="1"/>
  <c r="B28" i="1" s="1"/>
  <c r="B31" i="1" s="1"/>
  <c r="B14" i="1"/>
  <c r="F9" i="1"/>
  <c r="F10" i="1" s="1"/>
  <c r="F30" i="1"/>
  <c r="B24" i="1" l="1"/>
  <c r="F12" i="1"/>
  <c r="F17" i="1" s="1"/>
  <c r="F13" i="1"/>
  <c r="F18" i="1" l="1"/>
  <c r="F25" i="1"/>
  <c r="F26" i="1" l="1"/>
  <c r="F32" i="1" s="1"/>
</calcChain>
</file>

<file path=xl/sharedStrings.xml><?xml version="1.0" encoding="utf-8"?>
<sst xmlns="http://schemas.openxmlformats.org/spreadsheetml/2006/main" count="170" uniqueCount="132">
  <si>
    <t>Winter Date in</t>
  </si>
  <si>
    <t>End of winter wt</t>
  </si>
  <si>
    <t>Days on winter feed</t>
  </si>
  <si>
    <t>Winter gain</t>
  </si>
  <si>
    <t>Begin date</t>
  </si>
  <si>
    <t>Begin grazing wt</t>
  </si>
  <si>
    <t>End grazing date</t>
  </si>
  <si>
    <t>Target shipping wt</t>
  </si>
  <si>
    <t>Mean wt</t>
  </si>
  <si>
    <t>AU equivalent</t>
  </si>
  <si>
    <t>Days on pasture</t>
  </si>
  <si>
    <t xml:space="preserve">Expected sale price </t>
  </si>
  <si>
    <t>Marginal revenue/AUD consumed</t>
  </si>
  <si>
    <t>Projected intake (% liveweight)</t>
  </si>
  <si>
    <t>lbs/hd</t>
  </si>
  <si>
    <t>date to begin winter feeding</t>
  </si>
  <si>
    <t>date to end winter feeding</t>
  </si>
  <si>
    <t>days</t>
  </si>
  <si>
    <t>lbs/hd/day</t>
  </si>
  <si>
    <t>Lbs TMR dry matter fed/day</t>
  </si>
  <si>
    <t>$/hd/day</t>
  </si>
  <si>
    <t>$/lb of gain</t>
  </si>
  <si>
    <t>date on pasture</t>
  </si>
  <si>
    <t>date off pasture</t>
  </si>
  <si>
    <t>animal unit day = 26 lbs DM/day</t>
  </si>
  <si>
    <t>animal unit day = 26 lbs/DM/day</t>
  </si>
  <si>
    <t>Daily cost on pasture</t>
  </si>
  <si>
    <t>Cost/AUD on pasture</t>
  </si>
  <si>
    <t>Cost/AUD</t>
  </si>
  <si>
    <t>Other direct costs/hd</t>
  </si>
  <si>
    <t>ODC/hd/day</t>
  </si>
  <si>
    <t>ODC/AUD</t>
  </si>
  <si>
    <t>Gross Margin/AUD</t>
  </si>
  <si>
    <t>Salt &amp; mineral/day</t>
  </si>
  <si>
    <t>Total salt &amp; mineral</t>
  </si>
  <si>
    <t>$/hd</t>
  </si>
  <si>
    <t>Winter end date</t>
  </si>
  <si>
    <t>AUD consumed on pasture</t>
  </si>
  <si>
    <t>Target ADG</t>
  </si>
  <si>
    <t>Beginning value at purchase</t>
  </si>
  <si>
    <t>Winter target ADG</t>
  </si>
  <si>
    <t>Mean winter wt</t>
  </si>
  <si>
    <t>Total winter feed consumed</t>
  </si>
  <si>
    <t>Daily feed cost/AUD</t>
  </si>
  <si>
    <t>$/AUD</t>
  </si>
  <si>
    <t>$/hd-day</t>
  </si>
  <si>
    <t>$/ton</t>
  </si>
  <si>
    <t>TMR consumed as AUD</t>
  </si>
  <si>
    <t>Cost of ration per lb</t>
  </si>
  <si>
    <t>$/lb</t>
  </si>
  <si>
    <t xml:space="preserve">Cost of ration per ton delivered </t>
  </si>
  <si>
    <t>Feeding waste</t>
  </si>
  <si>
    <t>Daily feed cost/hd adjusted for waste</t>
  </si>
  <si>
    <t>Value per head at end of winter</t>
  </si>
  <si>
    <t>Beginning value at turn-in</t>
  </si>
  <si>
    <t>Price/lb at ending wt</t>
  </si>
  <si>
    <t>Value of gain</t>
  </si>
  <si>
    <t>Average cow weight</t>
  </si>
  <si>
    <t>lbs</t>
  </si>
  <si>
    <t>Daily intake target for cow</t>
  </si>
  <si>
    <t>as % of liveweight</t>
  </si>
  <si>
    <t># of days cow is on ranch</t>
  </si>
  <si>
    <t>calendar days</t>
  </si>
  <si>
    <t>Expected calf weaning weight</t>
  </si>
  <si>
    <t>lbs/calf</t>
  </si>
  <si>
    <t>DOA at weaning</t>
  </si>
  <si>
    <t>Gain / day</t>
  </si>
  <si>
    <t>205 day target</t>
  </si>
  <si>
    <t>205 day Weaning weight %</t>
  </si>
  <si>
    <t>calf:dam</t>
  </si>
  <si>
    <t xml:space="preserve">% weaned for cows exposed </t>
  </si>
  <si>
    <t>culling for herd improvement</t>
  </si>
  <si>
    <t>Cow cull rate</t>
  </si>
  <si>
    <t>open &amp; dries + culls</t>
  </si>
  <si>
    <t>Annual feed consumption/cow</t>
  </si>
  <si>
    <t>lbs/cow/year</t>
  </si>
  <si>
    <t>Annual AUD consumed/cow</t>
  </si>
  <si>
    <t>AUD/cow/year</t>
  </si>
  <si>
    <t>AUD consumed/calf</t>
  </si>
  <si>
    <t>Expected calf price / lb</t>
  </si>
  <si>
    <t>Value per weaned calf</t>
  </si>
  <si>
    <t>$/calf sold</t>
  </si>
  <si>
    <t>lbs of calf per cow exposed</t>
  </si>
  <si>
    <t>calf lbs/cow exposed</t>
  </si>
  <si>
    <t>Calf sale value per cow exposed</t>
  </si>
  <si>
    <t>$ calf income / cow</t>
  </si>
  <si>
    <t>Cull cow price / lb</t>
  </si>
  <si>
    <t>$ / lbs sold</t>
  </si>
  <si>
    <t>Value of cull cow</t>
  </si>
  <si>
    <t>Annual cull value allotment</t>
  </si>
  <si>
    <t>$ / cow exposed</t>
  </si>
  <si>
    <t>Gross income per cow exposed</t>
  </si>
  <si>
    <t>calf + cull income</t>
  </si>
  <si>
    <t>Daily cost to keep a cow</t>
  </si>
  <si>
    <t>Annual cost to keep a cow</t>
  </si>
  <si>
    <t>Annualized Cow replacement cost</t>
  </si>
  <si>
    <t>Revenue per AUD consumed</t>
  </si>
  <si>
    <t>$/AUD consumed</t>
  </si>
  <si>
    <t>$/cow exposed</t>
  </si>
  <si>
    <t>Gross margin/AUD consumed</t>
  </si>
  <si>
    <t>Cull bull price/lb</t>
  </si>
  <si>
    <t>Mean bull weight</t>
  </si>
  <si>
    <t>Cull bull value</t>
  </si>
  <si>
    <t>Cow:Bull ratio</t>
  </si>
  <si>
    <t>AUD/calf/yr</t>
  </si>
  <si>
    <t>AUD/pair/yr</t>
  </si>
  <si>
    <t>Cull bull allotment/cow</t>
  </si>
  <si>
    <t>$/cow</t>
  </si>
  <si>
    <t>AUD consumed/bull by cow share</t>
  </si>
  <si>
    <t>AUD/bull/yr</t>
  </si>
  <si>
    <t>Use this calculator to determine revenue flow &amp; gross margin per cow-calf unit. All blue-font cells need to be filled in with ranch specific information for accurate asessment on your ranch. Revenure flow includes calf value/cow along with a share of annual cull cow &amp; cull bull sales.</t>
  </si>
  <si>
    <t>Cost per AUD consumed</t>
  </si>
  <si>
    <t>Gross margin/pair</t>
  </si>
  <si>
    <t>$/AUD/day</t>
  </si>
  <si>
    <t>AUD consumed per pair annually</t>
  </si>
  <si>
    <t>Marginal value per head</t>
  </si>
  <si>
    <t>Weaning or Purchase Weight</t>
  </si>
  <si>
    <t>Value/lb at weaning or purchase</t>
  </si>
  <si>
    <t>Feed Cost/lb of gain</t>
  </si>
  <si>
    <t>Daily yardage charge</t>
  </si>
  <si>
    <t>$/day</t>
  </si>
  <si>
    <t>Yardage charge/lb of gain</t>
  </si>
  <si>
    <t>Total cost/lb of gain</t>
  </si>
  <si>
    <t>Margin/lb of gain</t>
  </si>
  <si>
    <t>Total AU feed cost</t>
  </si>
  <si>
    <t>Use this calculator for determining daily feed cost for a winter feeding program for weaned calves or yearlings. Daily feed consumption is based on the standard NRC calculation for intake based on ADG. Cost is expressed on both per head and per AUD basis. All blue-font cells  need to be filled in with ranch-specific information for meaningful result.</t>
  </si>
  <si>
    <t>Revenue above feed costs/AUD</t>
  </si>
  <si>
    <t>Use this calculator for determing daily feed cost for a yearling operation on pasture. The default starting weight is the out weight for the weaned calf/yearling in previous calculation.</t>
  </si>
  <si>
    <t>Summary for both wintering and pasture growing phases</t>
  </si>
  <si>
    <t>based on NRC ADG equation</t>
  </si>
  <si>
    <t>your best estimate</t>
  </si>
  <si>
    <t>mean liveweight/1000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</si>
</sst>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70C0"/>
      <name val="Calibri"/>
      <family val="2"/>
      <scheme val="minor"/>
    </font>
    <font>
      <b/>
      <i/>
      <sz val="11"/>
      <color theme="1"/>
      <name val="Calibri"/>
      <family val="2"/>
      <scheme val="minor"/>
    </font>
    <font>
      <b/>
      <sz val="11"/>
      <color rgb="FF00B050"/>
      <name val="Calibri"/>
      <family val="2"/>
      <scheme val="minor"/>
    </font>
    <font>
      <sz val="11"/>
      <name val="Calibri"/>
      <family val="2"/>
      <scheme val="minor"/>
    </font>
    <font>
      <i/>
      <sz val="10"/>
      <color theme="1"/>
      <name val="Calibri"/>
      <family val="2"/>
      <scheme val="minor"/>
    </font>
    <font>
      <sz val="11"/>
      <color theme="4"/>
      <name val="Calibri"/>
      <family val="2"/>
      <scheme val="minor"/>
    </font>
    <font>
      <b/>
      <sz val="11"/>
      <color rgb="FFC00000"/>
      <name val="Calibri"/>
      <family val="2"/>
      <scheme val="minor"/>
    </font>
    <font>
      <i/>
      <sz val="11"/>
      <name val="Calibri"/>
      <family val="2"/>
      <scheme val="minor"/>
    </font>
    <font>
      <b/>
      <sz val="12"/>
      <color rgb="FF00B050"/>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16" fontId="0" fillId="0" borderId="0" xfId="0" applyNumberFormat="1"/>
    <xf numFmtId="2" fontId="0" fillId="0" borderId="0" xfId="0" applyNumberFormat="1"/>
    <xf numFmtId="164" fontId="0" fillId="0" borderId="0" xfId="0" applyNumberFormat="1"/>
    <xf numFmtId="44" fontId="0" fillId="0" borderId="0" xfId="1" applyFont="1"/>
    <xf numFmtId="44" fontId="0" fillId="0" borderId="0" xfId="0" applyNumberFormat="1"/>
    <xf numFmtId="0" fontId="3" fillId="0" borderId="0" xfId="0" applyFont="1"/>
    <xf numFmtId="44" fontId="4" fillId="0" borderId="0" xfId="1" applyFont="1"/>
    <xf numFmtId="14" fontId="4" fillId="0" borderId="0" xfId="0" applyNumberFormat="1" applyFont="1"/>
    <xf numFmtId="0" fontId="4" fillId="0" borderId="0" xfId="0" applyFont="1"/>
    <xf numFmtId="16" fontId="4" fillId="0" borderId="0" xfId="0" applyNumberFormat="1" applyFont="1"/>
    <xf numFmtId="0" fontId="2" fillId="0" borderId="0" xfId="0" applyFont="1"/>
    <xf numFmtId="44" fontId="2" fillId="0" borderId="0" xfId="0" applyNumberFormat="1" applyFont="1"/>
    <xf numFmtId="0" fontId="5" fillId="0" borderId="0" xfId="0" applyFont="1"/>
    <xf numFmtId="1" fontId="0" fillId="0" borderId="0" xfId="0" applyNumberFormat="1"/>
    <xf numFmtId="2" fontId="4" fillId="0" borderId="0" xfId="0" applyNumberFormat="1" applyFont="1"/>
    <xf numFmtId="1" fontId="4" fillId="0" borderId="0" xfId="0" applyNumberFormat="1" applyFont="1"/>
    <xf numFmtId="10" fontId="0" fillId="0" borderId="0" xfId="2" applyNumberFormat="1" applyFont="1"/>
    <xf numFmtId="9" fontId="4" fillId="0" borderId="0" xfId="2" applyFont="1"/>
    <xf numFmtId="165" fontId="0" fillId="0" borderId="0" xfId="1" applyNumberFormat="1" applyFont="1"/>
    <xf numFmtId="165" fontId="0" fillId="0" borderId="0" xfId="0" applyNumberFormat="1"/>
    <xf numFmtId="165" fontId="4" fillId="0" borderId="0" xfId="1" applyNumberFormat="1" applyFont="1"/>
    <xf numFmtId="164" fontId="7" fillId="0" borderId="0" xfId="0" applyNumberFormat="1" applyFont="1"/>
    <xf numFmtId="0" fontId="0" fillId="0" borderId="0" xfId="0" applyAlignment="1">
      <alignment horizontal="right"/>
    </xf>
    <xf numFmtId="0" fontId="8" fillId="0" borderId="0" xfId="0" applyFont="1"/>
    <xf numFmtId="166" fontId="4" fillId="0" borderId="0" xfId="2" applyNumberFormat="1" applyFont="1"/>
    <xf numFmtId="1" fontId="9" fillId="0" borderId="0" xfId="0" applyNumberFormat="1" applyFont="1"/>
    <xf numFmtId="9" fontId="7" fillId="0" borderId="0" xfId="2" applyFont="1"/>
    <xf numFmtId="0" fontId="10" fillId="0" borderId="0" xfId="0" applyFont="1" applyAlignment="1">
      <alignment horizontal="right"/>
    </xf>
    <xf numFmtId="44" fontId="10" fillId="0" borderId="0" xfId="0" applyNumberFormat="1" applyFont="1"/>
    <xf numFmtId="0" fontId="11" fillId="0" borderId="0" xfId="0" applyFont="1"/>
    <xf numFmtId="165" fontId="10" fillId="0" borderId="0" xfId="0" applyNumberFormat="1" applyFont="1"/>
    <xf numFmtId="1" fontId="0" fillId="0" borderId="0" xfId="1" applyNumberFormat="1" applyFont="1"/>
    <xf numFmtId="1" fontId="7" fillId="0" borderId="0" xfId="2" applyNumberFormat="1" applyFont="1"/>
    <xf numFmtId="0" fontId="7" fillId="0" borderId="0" xfId="0" applyFont="1" applyAlignment="1">
      <alignment horizontal="right"/>
    </xf>
    <xf numFmtId="44" fontId="7" fillId="0" borderId="0" xfId="0" applyNumberFormat="1" applyFont="1"/>
    <xf numFmtId="44" fontId="7" fillId="0" borderId="0" xfId="1" applyFont="1"/>
    <xf numFmtId="1" fontId="7" fillId="0" borderId="0" xfId="0" applyNumberFormat="1" applyFont="1"/>
    <xf numFmtId="0" fontId="12" fillId="0" borderId="0" xfId="0" applyFont="1" applyAlignment="1">
      <alignment wrapText="1"/>
    </xf>
    <xf numFmtId="0" fontId="6" fillId="0" borderId="0" xfId="0" applyFont="1" applyAlignment="1">
      <alignment wrapText="1"/>
    </xf>
    <xf numFmtId="0" fontId="6" fillId="0" borderId="0" xfId="0" applyFont="1" applyAlignment="1">
      <alignment vertical="top" wrapText="1"/>
    </xf>
    <xf numFmtId="0" fontId="13" fillId="0" borderId="0" xfId="0" applyFont="1"/>
    <xf numFmtId="0" fontId="10"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B45E-639E-49B9-8060-00C8BCCD3191}">
  <dimension ref="A1:C41"/>
  <sheetViews>
    <sheetView topLeftCell="A21" zoomScale="130" zoomScaleNormal="130" workbookViewId="0">
      <selection activeCell="H31" sqref="H31"/>
    </sheetView>
  </sheetViews>
  <sheetFormatPr defaultRowHeight="14.4" x14ac:dyDescent="0.3"/>
  <cols>
    <col min="1" max="1" width="30.21875" customWidth="1"/>
    <col min="2" max="2" width="13.33203125" customWidth="1"/>
    <col min="3" max="3" width="23.33203125" customWidth="1"/>
  </cols>
  <sheetData>
    <row r="1" spans="1:3" ht="79.8" customHeight="1" x14ac:dyDescent="0.3">
      <c r="A1" s="38" t="s">
        <v>110</v>
      </c>
      <c r="B1" s="38"/>
      <c r="C1" s="38"/>
    </row>
    <row r="2" spans="1:3" x14ac:dyDescent="0.3">
      <c r="A2" s="23" t="s">
        <v>57</v>
      </c>
      <c r="B2" s="16">
        <v>1200</v>
      </c>
      <c r="C2" s="24" t="s">
        <v>58</v>
      </c>
    </row>
    <row r="3" spans="1:3" x14ac:dyDescent="0.3">
      <c r="A3" s="23" t="s">
        <v>59</v>
      </c>
      <c r="B3" s="25">
        <v>2.5999999999999999E-2</v>
      </c>
      <c r="C3" s="24" t="s">
        <v>60</v>
      </c>
    </row>
    <row r="4" spans="1:3" x14ac:dyDescent="0.3">
      <c r="A4" s="23" t="s">
        <v>61</v>
      </c>
      <c r="B4" s="16">
        <v>365</v>
      </c>
      <c r="C4" s="24" t="s">
        <v>62</v>
      </c>
    </row>
    <row r="5" spans="1:3" x14ac:dyDescent="0.3">
      <c r="A5" s="23" t="s">
        <v>63</v>
      </c>
      <c r="B5" s="26">
        <v>535</v>
      </c>
      <c r="C5" s="24" t="s">
        <v>64</v>
      </c>
    </row>
    <row r="6" spans="1:3" x14ac:dyDescent="0.3">
      <c r="A6" s="23" t="s">
        <v>65</v>
      </c>
      <c r="B6" s="9">
        <v>210</v>
      </c>
      <c r="C6" s="24" t="s">
        <v>17</v>
      </c>
    </row>
    <row r="7" spans="1:3" x14ac:dyDescent="0.3">
      <c r="A7" s="23" t="s">
        <v>66</v>
      </c>
      <c r="B7" s="2">
        <f>(B5-78)/B6</f>
        <v>2.176190476190476</v>
      </c>
      <c r="C7" s="24" t="s">
        <v>18</v>
      </c>
    </row>
    <row r="8" spans="1:3" x14ac:dyDescent="0.3">
      <c r="A8" s="23" t="s">
        <v>67</v>
      </c>
      <c r="B8" s="14">
        <f>75+(205*B7)</f>
        <v>521.11904761904759</v>
      </c>
      <c r="C8" s="24" t="s">
        <v>14</v>
      </c>
    </row>
    <row r="9" spans="1:3" x14ac:dyDescent="0.3">
      <c r="A9" s="23" t="s">
        <v>68</v>
      </c>
      <c r="B9" s="27">
        <f>B8/B2</f>
        <v>0.43426587301587299</v>
      </c>
      <c r="C9" s="24" t="s">
        <v>69</v>
      </c>
    </row>
    <row r="10" spans="1:3" x14ac:dyDescent="0.3">
      <c r="A10" s="23" t="s">
        <v>70</v>
      </c>
      <c r="B10" s="18">
        <v>0.86</v>
      </c>
      <c r="C10" s="24"/>
    </row>
    <row r="11" spans="1:3" x14ac:dyDescent="0.3">
      <c r="A11" s="23" t="s">
        <v>71</v>
      </c>
      <c r="B11" s="18">
        <v>0.03</v>
      </c>
    </row>
    <row r="12" spans="1:3" x14ac:dyDescent="0.3">
      <c r="A12" s="23" t="s">
        <v>72</v>
      </c>
      <c r="B12" s="27">
        <f>(1-B10)+B11</f>
        <v>0.17</v>
      </c>
      <c r="C12" s="24" t="s">
        <v>73</v>
      </c>
    </row>
    <row r="13" spans="1:3" x14ac:dyDescent="0.3">
      <c r="A13" s="23" t="s">
        <v>103</v>
      </c>
      <c r="B13" s="33">
        <v>30</v>
      </c>
      <c r="C13" s="24"/>
    </row>
    <row r="14" spans="1:3" x14ac:dyDescent="0.3">
      <c r="A14" s="23" t="s">
        <v>101</v>
      </c>
      <c r="B14" s="32">
        <v>1500</v>
      </c>
      <c r="C14" s="24" t="s">
        <v>14</v>
      </c>
    </row>
    <row r="15" spans="1:3" x14ac:dyDescent="0.3">
      <c r="A15" s="23" t="s">
        <v>74</v>
      </c>
      <c r="B15" s="14">
        <f>(B3*B2)*B4</f>
        <v>11388</v>
      </c>
      <c r="C15" s="24" t="s">
        <v>75</v>
      </c>
    </row>
    <row r="16" spans="1:3" x14ac:dyDescent="0.3">
      <c r="A16" s="23" t="s">
        <v>76</v>
      </c>
      <c r="B16" s="14">
        <f>B15/26</f>
        <v>438</v>
      </c>
      <c r="C16" s="24" t="s">
        <v>77</v>
      </c>
    </row>
    <row r="17" spans="1:3" x14ac:dyDescent="0.3">
      <c r="A17" s="23" t="s">
        <v>78</v>
      </c>
      <c r="B17" s="14">
        <f>((B6-83)*((B5*0.7)/1000))</f>
        <v>47.561500000000002</v>
      </c>
      <c r="C17" s="24" t="s">
        <v>104</v>
      </c>
    </row>
    <row r="18" spans="1:3" x14ac:dyDescent="0.3">
      <c r="A18" s="23" t="s">
        <v>108</v>
      </c>
      <c r="B18" s="14">
        <f>((B14/1000)*B4)/B13</f>
        <v>18.25</v>
      </c>
      <c r="C18" s="24" t="s">
        <v>109</v>
      </c>
    </row>
    <row r="19" spans="1:3" x14ac:dyDescent="0.3">
      <c r="A19" s="23" t="s">
        <v>114</v>
      </c>
      <c r="B19" s="14">
        <f>B16+B17+B18</f>
        <v>503.81150000000002</v>
      </c>
      <c r="C19" s="24" t="s">
        <v>105</v>
      </c>
    </row>
    <row r="21" spans="1:3" x14ac:dyDescent="0.3">
      <c r="A21" s="23" t="s">
        <v>79</v>
      </c>
      <c r="B21" s="7">
        <v>3.85</v>
      </c>
      <c r="C21" s="24" t="s">
        <v>49</v>
      </c>
    </row>
    <row r="22" spans="1:3" x14ac:dyDescent="0.3">
      <c r="A22" s="23" t="s">
        <v>80</v>
      </c>
      <c r="B22" s="20">
        <f>B5*B21</f>
        <v>2059.75</v>
      </c>
      <c r="C22" s="24" t="s">
        <v>81</v>
      </c>
    </row>
    <row r="23" spans="1:3" x14ac:dyDescent="0.3">
      <c r="A23" s="23" t="s">
        <v>82</v>
      </c>
      <c r="B23" s="14">
        <f>B5*B10</f>
        <v>460.09999999999997</v>
      </c>
      <c r="C23" s="24" t="s">
        <v>83</v>
      </c>
    </row>
    <row r="24" spans="1:3" x14ac:dyDescent="0.3">
      <c r="A24" s="23" t="s">
        <v>84</v>
      </c>
      <c r="B24" s="19">
        <f>B21*B23</f>
        <v>1771.385</v>
      </c>
      <c r="C24" s="24" t="s">
        <v>85</v>
      </c>
    </row>
    <row r="25" spans="1:3" x14ac:dyDescent="0.3">
      <c r="A25" s="23" t="s">
        <v>86</v>
      </c>
      <c r="B25" s="7">
        <v>0.85</v>
      </c>
      <c r="C25" s="24" t="s">
        <v>87</v>
      </c>
    </row>
    <row r="26" spans="1:3" x14ac:dyDescent="0.3">
      <c r="A26" s="23" t="s">
        <v>88</v>
      </c>
      <c r="B26" s="19">
        <f>B2*B25</f>
        <v>1020</v>
      </c>
      <c r="C26" s="24" t="s">
        <v>35</v>
      </c>
    </row>
    <row r="27" spans="1:3" x14ac:dyDescent="0.3">
      <c r="A27" s="23" t="s">
        <v>100</v>
      </c>
      <c r="B27" s="7">
        <v>0.92</v>
      </c>
      <c r="C27" s="24" t="s">
        <v>49</v>
      </c>
    </row>
    <row r="28" spans="1:3" x14ac:dyDescent="0.3">
      <c r="A28" s="23" t="s">
        <v>102</v>
      </c>
      <c r="B28" s="19">
        <f>B27*B14</f>
        <v>1380</v>
      </c>
      <c r="C28" s="24" t="s">
        <v>35</v>
      </c>
    </row>
    <row r="29" spans="1:3" x14ac:dyDescent="0.3">
      <c r="A29" s="23" t="s">
        <v>106</v>
      </c>
      <c r="B29" s="19">
        <f>B28/B13</f>
        <v>46</v>
      </c>
      <c r="C29" s="24" t="s">
        <v>107</v>
      </c>
    </row>
    <row r="30" spans="1:3" x14ac:dyDescent="0.3">
      <c r="A30" s="23" t="s">
        <v>89</v>
      </c>
      <c r="B30" s="19">
        <f>(B26*B12)+B29</f>
        <v>219.4</v>
      </c>
      <c r="C30" s="24" t="s">
        <v>90</v>
      </c>
    </row>
    <row r="31" spans="1:3" x14ac:dyDescent="0.3">
      <c r="A31" s="23" t="s">
        <v>91</v>
      </c>
      <c r="B31" s="20">
        <f>(B30+B24)</f>
        <v>1990.7850000000001</v>
      </c>
      <c r="C31" s="24" t="s">
        <v>92</v>
      </c>
    </row>
    <row r="32" spans="1:3" x14ac:dyDescent="0.3">
      <c r="A32" s="23"/>
      <c r="B32" s="20"/>
      <c r="C32" s="24"/>
    </row>
    <row r="33" spans="1:3" x14ac:dyDescent="0.3">
      <c r="A33" s="23" t="s">
        <v>93</v>
      </c>
      <c r="B33" s="7">
        <v>1.75</v>
      </c>
      <c r="C33" s="24" t="s">
        <v>20</v>
      </c>
    </row>
    <row r="34" spans="1:3" x14ac:dyDescent="0.3">
      <c r="A34" s="34" t="s">
        <v>111</v>
      </c>
      <c r="B34" s="35">
        <f>B33/(B2/1000)</f>
        <v>1.4583333333333335</v>
      </c>
      <c r="C34" s="30" t="s">
        <v>113</v>
      </c>
    </row>
    <row r="35" spans="1:3" x14ac:dyDescent="0.3">
      <c r="A35" s="23" t="s">
        <v>94</v>
      </c>
      <c r="B35" s="20">
        <f>B33*B4</f>
        <v>638.75</v>
      </c>
      <c r="C35" s="24" t="s">
        <v>90</v>
      </c>
    </row>
    <row r="36" spans="1:3" x14ac:dyDescent="0.3">
      <c r="A36" s="23" t="s">
        <v>95</v>
      </c>
      <c r="B36" s="20">
        <v>285</v>
      </c>
      <c r="C36" s="24" t="s">
        <v>90</v>
      </c>
    </row>
    <row r="38" spans="1:3" x14ac:dyDescent="0.3">
      <c r="A38" s="28" t="s">
        <v>96</v>
      </c>
      <c r="B38" s="29">
        <f>B31/B19</f>
        <v>3.9514481110494697</v>
      </c>
      <c r="C38" s="30" t="s">
        <v>97</v>
      </c>
    </row>
    <row r="39" spans="1:3" x14ac:dyDescent="0.3">
      <c r="A39" s="28" t="s">
        <v>111</v>
      </c>
      <c r="B39" s="29">
        <f>B33/(B2/1000)</f>
        <v>1.4583333333333335</v>
      </c>
      <c r="C39" s="30" t="s">
        <v>97</v>
      </c>
    </row>
    <row r="40" spans="1:3" x14ac:dyDescent="0.3">
      <c r="A40" s="28" t="s">
        <v>112</v>
      </c>
      <c r="B40" s="31">
        <f>B31-B35-B36</f>
        <v>1067.0350000000001</v>
      </c>
      <c r="C40" s="24" t="s">
        <v>98</v>
      </c>
    </row>
    <row r="41" spans="1:3" x14ac:dyDescent="0.3">
      <c r="A41" s="28" t="s">
        <v>99</v>
      </c>
      <c r="B41" s="29">
        <f>B40/B19</f>
        <v>2.1179250572882915</v>
      </c>
      <c r="C41" s="6" t="s">
        <v>97</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EBC9F-5D62-40A5-9F2E-83130E95CED1}">
  <dimension ref="A1:G49"/>
  <sheetViews>
    <sheetView tabSelected="1" topLeftCell="A16" zoomScale="120" zoomScaleNormal="120" workbookViewId="0">
      <selection activeCell="I13" sqref="I13"/>
    </sheetView>
  </sheetViews>
  <sheetFormatPr defaultRowHeight="14.4" x14ac:dyDescent="0.3"/>
  <cols>
    <col min="1" max="1" width="33" customWidth="1"/>
    <col min="2" max="2" width="11.5546875" customWidth="1"/>
    <col min="3" max="3" width="28.88671875" style="6" customWidth="1"/>
    <col min="4" max="4" width="2.6640625" customWidth="1"/>
    <col min="5" max="5" width="29.44140625" customWidth="1"/>
    <col min="6" max="6" width="11.33203125" customWidth="1"/>
    <col min="7" max="7" width="27.6640625" customWidth="1"/>
  </cols>
  <sheetData>
    <row r="1" spans="1:7" ht="69.599999999999994" customHeight="1" x14ac:dyDescent="0.3">
      <c r="A1" s="39" t="s">
        <v>125</v>
      </c>
      <c r="B1" s="39"/>
      <c r="C1" s="39"/>
      <c r="E1" s="40" t="s">
        <v>127</v>
      </c>
      <c r="F1" s="40"/>
      <c r="G1" s="40"/>
    </row>
    <row r="2" spans="1:7" x14ac:dyDescent="0.3">
      <c r="A2" t="s">
        <v>116</v>
      </c>
      <c r="B2" s="16">
        <f>'Cow-Calf'!B5</f>
        <v>535</v>
      </c>
      <c r="C2" s="6" t="s">
        <v>14</v>
      </c>
      <c r="E2" t="s">
        <v>54</v>
      </c>
      <c r="F2" s="20">
        <f>B12</f>
        <v>2641.5375000000004</v>
      </c>
      <c r="G2" t="s">
        <v>35</v>
      </c>
    </row>
    <row r="3" spans="1:7" x14ac:dyDescent="0.3">
      <c r="A3" t="s">
        <v>117</v>
      </c>
      <c r="B3" s="7">
        <v>3.85</v>
      </c>
      <c r="C3" s="6" t="s">
        <v>49</v>
      </c>
      <c r="E3" t="s">
        <v>4</v>
      </c>
      <c r="F3" s="1">
        <f>B7</f>
        <v>46143</v>
      </c>
      <c r="G3" s="6" t="s">
        <v>22</v>
      </c>
    </row>
    <row r="4" spans="1:7" x14ac:dyDescent="0.3">
      <c r="A4" t="s">
        <v>39</v>
      </c>
      <c r="B4" s="36">
        <f>B2*B3</f>
        <v>2059.75</v>
      </c>
      <c r="C4" s="6" t="s">
        <v>35</v>
      </c>
      <c r="E4" t="s">
        <v>5</v>
      </c>
      <c r="F4" s="14">
        <f>B10</f>
        <v>761.25</v>
      </c>
      <c r="G4" s="6" t="s">
        <v>14</v>
      </c>
    </row>
    <row r="5" spans="1:7" x14ac:dyDescent="0.3">
      <c r="A5" t="s">
        <v>0</v>
      </c>
      <c r="B5" s="8">
        <v>45962</v>
      </c>
      <c r="C5" s="6" t="s">
        <v>15</v>
      </c>
      <c r="E5" t="s">
        <v>38</v>
      </c>
      <c r="F5" s="9">
        <v>2.25</v>
      </c>
      <c r="G5" s="6" t="s">
        <v>18</v>
      </c>
    </row>
    <row r="6" spans="1:7" x14ac:dyDescent="0.3">
      <c r="A6" t="s">
        <v>40</v>
      </c>
      <c r="B6" s="15">
        <v>1.25</v>
      </c>
      <c r="C6" s="6" t="s">
        <v>18</v>
      </c>
      <c r="E6" t="s">
        <v>6</v>
      </c>
      <c r="F6" s="10">
        <v>46235</v>
      </c>
      <c r="G6" s="6" t="s">
        <v>23</v>
      </c>
    </row>
    <row r="7" spans="1:7" x14ac:dyDescent="0.3">
      <c r="A7" t="s">
        <v>36</v>
      </c>
      <c r="B7" s="8">
        <v>46143</v>
      </c>
      <c r="C7" s="6" t="s">
        <v>16</v>
      </c>
      <c r="E7" t="s">
        <v>10</v>
      </c>
      <c r="F7">
        <f>F6-F3</f>
        <v>92</v>
      </c>
      <c r="G7" s="6" t="s">
        <v>17</v>
      </c>
    </row>
    <row r="8" spans="1:7" x14ac:dyDescent="0.3">
      <c r="A8" t="s">
        <v>2</v>
      </c>
      <c r="B8">
        <f>B7-B5</f>
        <v>181</v>
      </c>
      <c r="C8" s="6" t="s">
        <v>17</v>
      </c>
      <c r="E8" t="s">
        <v>7</v>
      </c>
      <c r="F8" s="14">
        <f>F4+(F7*F5)</f>
        <v>968.25</v>
      </c>
      <c r="G8" s="6" t="s">
        <v>14</v>
      </c>
    </row>
    <row r="9" spans="1:7" x14ac:dyDescent="0.3">
      <c r="A9" t="s">
        <v>3</v>
      </c>
      <c r="B9" s="14">
        <f>B8*B6</f>
        <v>226.25</v>
      </c>
      <c r="C9" s="6" t="s">
        <v>14</v>
      </c>
      <c r="E9" t="s">
        <v>8</v>
      </c>
      <c r="F9" s="14">
        <f>(F4+F8)/2</f>
        <v>864.75</v>
      </c>
      <c r="G9" s="6" t="s">
        <v>14</v>
      </c>
    </row>
    <row r="10" spans="1:7" x14ac:dyDescent="0.3">
      <c r="A10" t="s">
        <v>1</v>
      </c>
      <c r="B10" s="37">
        <f>B2+B9</f>
        <v>761.25</v>
      </c>
      <c r="C10" s="6" t="s">
        <v>14</v>
      </c>
      <c r="E10" t="s">
        <v>9</v>
      </c>
      <c r="F10" s="2">
        <f>F9/1000</f>
        <v>0.86475000000000002</v>
      </c>
      <c r="G10" s="6" t="s">
        <v>131</v>
      </c>
    </row>
    <row r="11" spans="1:7" x14ac:dyDescent="0.3">
      <c r="A11" t="s">
        <v>55</v>
      </c>
      <c r="B11" s="7">
        <v>3.47</v>
      </c>
      <c r="C11" s="6" t="s">
        <v>49</v>
      </c>
      <c r="E11" t="s">
        <v>26</v>
      </c>
      <c r="F11" s="7">
        <v>0.7</v>
      </c>
      <c r="G11" s="6" t="s">
        <v>45</v>
      </c>
    </row>
    <row r="12" spans="1:7" x14ac:dyDescent="0.3">
      <c r="A12" t="s">
        <v>53</v>
      </c>
      <c r="B12" s="19">
        <f>B10*B11</f>
        <v>2641.5375000000004</v>
      </c>
      <c r="C12" s="6" t="s">
        <v>35</v>
      </c>
      <c r="E12" t="s">
        <v>27</v>
      </c>
      <c r="F12" s="5">
        <f>F11/F10</f>
        <v>0.80948250939577904</v>
      </c>
      <c r="G12" s="6" t="s">
        <v>44</v>
      </c>
    </row>
    <row r="13" spans="1:7" x14ac:dyDescent="0.3">
      <c r="A13" t="s">
        <v>41</v>
      </c>
      <c r="B13" s="14">
        <f>(B2+B10)/2</f>
        <v>648.125</v>
      </c>
      <c r="C13" s="6" t="s">
        <v>14</v>
      </c>
      <c r="E13" t="s">
        <v>37</v>
      </c>
      <c r="F13" s="14">
        <f>F7*F10</f>
        <v>79.557000000000002</v>
      </c>
      <c r="G13" s="6" t="s">
        <v>24</v>
      </c>
    </row>
    <row r="14" spans="1:7" x14ac:dyDescent="0.3">
      <c r="A14" t="s">
        <v>9</v>
      </c>
      <c r="B14" s="2">
        <f>B13/1000</f>
        <v>0.64812499999999995</v>
      </c>
      <c r="C14" s="6" t="s">
        <v>131</v>
      </c>
      <c r="F14" s="14"/>
      <c r="G14" s="6"/>
    </row>
    <row r="15" spans="1:7" ht="15.6" x14ac:dyDescent="0.3">
      <c r="E15" s="41" t="s">
        <v>128</v>
      </c>
      <c r="F15" s="41"/>
      <c r="G15" s="41"/>
    </row>
    <row r="16" spans="1:7" x14ac:dyDescent="0.3">
      <c r="A16" t="s">
        <v>13</v>
      </c>
      <c r="B16" s="17">
        <f>0.01925+(0.004214*B6)</f>
        <v>2.4517499999999998E-2</v>
      </c>
      <c r="C16" s="6" t="s">
        <v>129</v>
      </c>
    </row>
    <row r="17" spans="1:7" x14ac:dyDescent="0.3">
      <c r="A17" t="s">
        <v>19</v>
      </c>
      <c r="B17" s="22">
        <f>B13*B16</f>
        <v>15.890404687499998</v>
      </c>
      <c r="C17" s="6" t="s">
        <v>18</v>
      </c>
      <c r="E17" t="s">
        <v>124</v>
      </c>
      <c r="F17" s="5">
        <f>(B8*B23)+(F7*F12)</f>
        <v>397.60933182636472</v>
      </c>
      <c r="G17" s="6"/>
    </row>
    <row r="18" spans="1:7" x14ac:dyDescent="0.3">
      <c r="A18" t="s">
        <v>42</v>
      </c>
      <c r="B18" s="14">
        <f>B8*B17</f>
        <v>2876.1632484374995</v>
      </c>
      <c r="C18" s="6" t="s">
        <v>14</v>
      </c>
      <c r="E18" t="s">
        <v>28</v>
      </c>
      <c r="F18" s="5">
        <f>F17/(F13+B22)</f>
        <v>2.0907147243277411</v>
      </c>
      <c r="G18" s="6"/>
    </row>
    <row r="19" spans="1:7" x14ac:dyDescent="0.3">
      <c r="A19" t="s">
        <v>50</v>
      </c>
      <c r="B19" s="7">
        <v>210</v>
      </c>
      <c r="C19" s="6" t="s">
        <v>46</v>
      </c>
      <c r="E19" t="s">
        <v>33</v>
      </c>
      <c r="F19" s="7">
        <v>0.12</v>
      </c>
      <c r="G19" s="6" t="s">
        <v>20</v>
      </c>
    </row>
    <row r="20" spans="1:7" x14ac:dyDescent="0.3">
      <c r="A20" t="s">
        <v>48</v>
      </c>
      <c r="B20" s="4">
        <f>B19/2000</f>
        <v>0.105</v>
      </c>
      <c r="C20" s="6" t="s">
        <v>49</v>
      </c>
      <c r="E20" t="s">
        <v>34</v>
      </c>
      <c r="F20" s="5">
        <f>F19*(F7+B8)</f>
        <v>32.76</v>
      </c>
      <c r="G20" s="6" t="s">
        <v>35</v>
      </c>
    </row>
    <row r="21" spans="1:7" x14ac:dyDescent="0.3">
      <c r="A21" t="s">
        <v>51</v>
      </c>
      <c r="B21" s="18">
        <v>7.0000000000000007E-2</v>
      </c>
      <c r="C21" s="6" t="s">
        <v>130</v>
      </c>
      <c r="F21" s="5"/>
      <c r="G21" s="6"/>
    </row>
    <row r="22" spans="1:7" x14ac:dyDescent="0.3">
      <c r="A22" t="s">
        <v>47</v>
      </c>
      <c r="B22" s="3">
        <f>B18/26</f>
        <v>110.62166340144229</v>
      </c>
      <c r="C22" s="6" t="s">
        <v>25</v>
      </c>
      <c r="E22" t="s">
        <v>55</v>
      </c>
      <c r="F22" s="7">
        <v>2.85</v>
      </c>
      <c r="G22" s="6"/>
    </row>
    <row r="23" spans="1:7" x14ac:dyDescent="0.3">
      <c r="A23" t="s">
        <v>52</v>
      </c>
      <c r="B23" s="36">
        <f>(B17*B20)*(1+B21)</f>
        <v>1.7852869666406248</v>
      </c>
      <c r="C23" s="6" t="s">
        <v>20</v>
      </c>
      <c r="E23" t="s">
        <v>11</v>
      </c>
      <c r="F23" s="21">
        <f>F8*F22</f>
        <v>2759.5125000000003</v>
      </c>
      <c r="G23" s="6"/>
    </row>
    <row r="24" spans="1:7" x14ac:dyDescent="0.3">
      <c r="A24" t="s">
        <v>43</v>
      </c>
      <c r="B24" s="36">
        <f>B23/B14</f>
        <v>2.7545411249999998</v>
      </c>
      <c r="C24" s="6" t="s">
        <v>44</v>
      </c>
      <c r="E24" t="s">
        <v>115</v>
      </c>
      <c r="F24" s="5">
        <f>F23-B4</f>
        <v>699.76250000000027</v>
      </c>
      <c r="G24" s="6"/>
    </row>
    <row r="25" spans="1:7" x14ac:dyDescent="0.3">
      <c r="A25" t="s">
        <v>118</v>
      </c>
      <c r="B25" s="4">
        <f>(B23)/B6</f>
        <v>1.4282295733124999</v>
      </c>
      <c r="C25" s="6" t="s">
        <v>21</v>
      </c>
      <c r="E25" s="42" t="s">
        <v>12</v>
      </c>
      <c r="F25" s="29">
        <f>F24/(F13+B22)</f>
        <v>3.6795005679627328</v>
      </c>
      <c r="G25" s="13"/>
    </row>
    <row r="26" spans="1:7" x14ac:dyDescent="0.3">
      <c r="A26" t="s">
        <v>119</v>
      </c>
      <c r="B26" s="7">
        <v>0.35</v>
      </c>
      <c r="C26" s="6" t="s">
        <v>120</v>
      </c>
      <c r="E26" s="42" t="s">
        <v>126</v>
      </c>
      <c r="F26" s="29">
        <f>F25-F18</f>
        <v>1.5887858436349918</v>
      </c>
      <c r="G26" s="13"/>
    </row>
    <row r="27" spans="1:7" ht="16.8" customHeight="1" x14ac:dyDescent="0.3">
      <c r="A27" t="s">
        <v>121</v>
      </c>
      <c r="B27" s="5">
        <f>B26/B6</f>
        <v>0.27999999999999997</v>
      </c>
      <c r="C27" s="6" t="s">
        <v>120</v>
      </c>
      <c r="G27" s="6"/>
    </row>
    <row r="28" spans="1:7" x14ac:dyDescent="0.3">
      <c r="A28" t="s">
        <v>122</v>
      </c>
      <c r="B28" s="4">
        <f>B25+B27</f>
        <v>1.7082295733124999</v>
      </c>
      <c r="C28" s="6" t="s">
        <v>49</v>
      </c>
      <c r="E28" t="s">
        <v>29</v>
      </c>
      <c r="F28" s="7">
        <v>40</v>
      </c>
      <c r="G28" s="6"/>
    </row>
    <row r="29" spans="1:7" x14ac:dyDescent="0.3">
      <c r="A29" t="s">
        <v>56</v>
      </c>
      <c r="B29" s="4">
        <f>(B12-B4)/B9</f>
        <v>2.5714364640883995</v>
      </c>
      <c r="C29" s="6" t="s">
        <v>49</v>
      </c>
      <c r="E29" t="s">
        <v>30</v>
      </c>
      <c r="F29" s="5">
        <f>F28/(B8+F7)</f>
        <v>0.14652014652014653</v>
      </c>
      <c r="G29" s="6"/>
    </row>
    <row r="30" spans="1:7" x14ac:dyDescent="0.3">
      <c r="E30" t="s">
        <v>31</v>
      </c>
      <c r="F30" s="5">
        <f>F29/(((B2+F8)/2)/1000)</f>
        <v>0.1949378300617283</v>
      </c>
      <c r="G30" s="6"/>
    </row>
    <row r="31" spans="1:7" x14ac:dyDescent="0.3">
      <c r="A31" s="11" t="s">
        <v>123</v>
      </c>
      <c r="B31" s="12">
        <f>B29-B28</f>
        <v>0.86320689077589963</v>
      </c>
      <c r="C31" s="13" t="s">
        <v>49</v>
      </c>
      <c r="G31" s="6"/>
    </row>
    <row r="32" spans="1:7" x14ac:dyDescent="0.3">
      <c r="E32" s="42" t="s">
        <v>32</v>
      </c>
      <c r="F32" s="29">
        <f>F26-F30</f>
        <v>1.3938480135732634</v>
      </c>
      <c r="G32" s="6"/>
    </row>
    <row r="48" s="11" customFormat="1" x14ac:dyDescent="0.3"/>
    <row r="49" s="11" customFormat="1" x14ac:dyDescent="0.3"/>
  </sheetData>
  <mergeCells count="3">
    <mergeCell ref="A1:C1"/>
    <mergeCell ref="E1:G1"/>
    <mergeCell ref="E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Cow-Calf</vt:lpstr>
      <vt:lpstr>Yearlings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Jim Gerrish</cp:lastModifiedBy>
  <dcterms:created xsi:type="dcterms:W3CDTF">2023-08-25T22:38:55Z</dcterms:created>
  <dcterms:modified xsi:type="dcterms:W3CDTF">2025-09-11T14:54:54Z</dcterms:modified>
</cp:coreProperties>
</file>